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435" tabRatio="602" firstSheet="7" activeTab="16"/>
  </bookViews>
  <sheets>
    <sheet name="Plano" sheetId="1" r:id="rId1"/>
    <sheet name="Dívida" sheetId="2" r:id="rId2"/>
    <sheet name="Projeções" sheetId="3" r:id="rId3"/>
    <sheet name="Parâmetros" sheetId="4" r:id="rId4"/>
    <sheet name="Metas" sheetId="5" r:id="rId5"/>
    <sheet name="MetasRPPS" sheetId="6" r:id="rId6"/>
    <sheet name="Metas PREF " sheetId="7" r:id="rId7"/>
    <sheet name=" Avaliação" sheetId="8" r:id="rId8"/>
    <sheet name="Comparação" sheetId="9" r:id="rId9"/>
    <sheet name=" Patrimônio" sheetId="10" r:id="rId10"/>
    <sheet name=" Alienação" sheetId="11" r:id="rId11"/>
    <sheet name="RPPS-Financeiro" sheetId="12" r:id="rId12"/>
    <sheet name="RPPS-Atuarial" sheetId="13" r:id="rId13"/>
    <sheet name="Renúncia" sheetId="14" r:id="rId14"/>
    <sheet name="DOCC" sheetId="15" r:id="rId15"/>
    <sheet name="DOCC(alternativa)" sheetId="16" r:id="rId16"/>
    <sheet name="Anexo Riscos" sheetId="17" r:id="rId17"/>
    <sheet name="Anexo III - Metas e Prioridades" sheetId="18" r:id="rId18"/>
    <sheet name="Anexo IV - Consdo Patrimônio" sheetId="19" r:id="rId19"/>
  </sheets>
  <definedNames>
    <definedName name="_xlnm.Print_Area" localSheetId="3">'Parâmetros'!$A$7:$G$64</definedName>
    <definedName name="_xlnm.Print_Area" localSheetId="2">'Projeções'!$A$1:$AY$86</definedName>
    <definedName name="Z_16B3F100_CCE8_11D8_BD62_000C6E3CD3F1_.wvu.Cols" localSheetId="3" hidden="1">'Parâmetros'!$C:$C,'Parâmetros'!#REF!</definedName>
    <definedName name="Z_16B3F100_CCE8_11D8_BD62_000C6E3CD3F1_.wvu.Rows" localSheetId="1" hidden="1">'Dívida'!$20:$20,'Dívida'!#REF!</definedName>
    <definedName name="Z_16B3F100_CCE8_11D8_BD62_000C6E3CD3F1_.wvu.Rows" localSheetId="3" hidden="1">'Parâmetros'!$1:$6,'Parâmetros'!#REF!,'Parâmetros'!$12:$12</definedName>
  </definedNames>
  <calcPr fullCalcOnLoad="1"/>
</workbook>
</file>

<file path=xl/sharedStrings.xml><?xml version="1.0" encoding="utf-8"?>
<sst xmlns="http://schemas.openxmlformats.org/spreadsheetml/2006/main" count="769" uniqueCount="423">
  <si>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</si>
  <si>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</si>
  <si>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</si>
  <si>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</si>
  <si>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</si>
  <si>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</si>
  <si>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</si>
  <si>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</si>
  <si>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</si>
  <si>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</si>
  <si>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</si>
  <si>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</si>
  <si>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</si>
  <si>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</si>
  <si>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</si>
  <si>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</si>
  <si>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</si>
  <si>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</si>
  <si>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</si>
  <si>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</si>
  <si>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</si>
  <si>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</si>
  <si>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</si>
  <si>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</si>
  <si>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</si>
  <si>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</si>
  <si>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</si>
  <si>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</si>
  <si>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</si>
  <si>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</si>
  <si>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</si>
  <si>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</si>
  <si>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</si>
  <si>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</si>
  <si>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</si>
  <si>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</si>
  <si>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</si>
  <si>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</si>
  <si>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</si>
  <si>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</si>
  <si>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</si>
  <si>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</si>
  <si>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LEI DE DIRETRIZES ORÇAMENTÁRIAS</t>
  </si>
  <si>
    <t>Resultado Nominal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</si>
  <si>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</si>
  <si>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</si>
  <si>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</si>
  <si>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</si>
  <si>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</si>
  <si>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</si>
  <si>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</si>
  <si>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</si>
  <si>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</si>
  <si>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</si>
  <si>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</si>
  <si>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</si>
  <si>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</si>
  <si>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</si>
  <si>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</si>
  <si>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</si>
  <si>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</si>
  <si>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</si>
  <si>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</si>
  <si>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</si>
  <si>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</si>
  <si>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</si>
  <si>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</si>
  <si>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</si>
  <si>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</si>
  <si>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</si>
  <si>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</si>
  <si>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</si>
  <si>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</si>
  <si>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</si>
  <si>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</si>
  <si>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</si>
  <si>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</si>
  <si>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</si>
  <si>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</si>
  <si>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</si>
  <si>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</si>
  <si>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</si>
  <si>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</si>
  <si>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</si>
  <si>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</si>
  <si>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</si>
  <si>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</si>
  <si>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</si>
  <si>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</si>
  <si>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</si>
  <si>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</si>
  <si>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</si>
  <si>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</si>
  <si>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</si>
  <si>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</si>
  <si>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</si>
  <si>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</si>
  <si>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</si>
  <si>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</si>
  <si>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</si>
  <si>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</si>
  <si>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</si>
  <si>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</si>
  <si>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</si>
  <si>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</si>
  <si>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</si>
  <si>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</si>
  <si>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</si>
  <si>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</si>
  <si>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</si>
  <si>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</si>
  <si>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</si>
  <si>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</si>
  <si>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</si>
  <si>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</si>
  <si>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</si>
  <si>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</si>
  <si>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</si>
  <si>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</si>
  <si>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</si>
  <si>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</si>
  <si>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</si>
  <si>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</si>
  <si>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</si>
  <si>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</si>
  <si>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</si>
  <si>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</si>
  <si>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</si>
  <si>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</si>
  <si>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</si>
  <si>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</si>
  <si>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</si>
  <si>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</si>
  <si>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</si>
  <si>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</si>
  <si>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</si>
  <si>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</si>
  <si>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</si>
  <si>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</si>
  <si>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</si>
  <si>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</si>
  <si>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</si>
  <si>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</si>
  <si>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</si>
  <si>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</si>
  <si>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</si>
  <si>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RECEITAS PREVIDENCIÁRIAS</t>
  </si>
  <si>
    <t xml:space="preserve">      Pessoal Civil</t>
  </si>
  <si>
    <t>DESPESAS PREVIDENCIÁRIAS</t>
  </si>
  <si>
    <t>EXERCÍCIO</t>
  </si>
  <si>
    <t>RENÚNCIA DE RECEITA PREVISTA</t>
  </si>
  <si>
    <t>COMPENSAÇÃO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</si>
  <si>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</si>
  <si>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</si>
  <si>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</si>
  <si>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</si>
  <si>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</si>
  <si>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</si>
  <si>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</si>
  <si>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</si>
  <si>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</si>
  <si>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PROVIDÊNCIAS</t>
  </si>
  <si>
    <t>Descrição</t>
  </si>
  <si>
    <t>I-Metas Previstas em</t>
  </si>
  <si>
    <t>II-Metas Realizadas em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</si>
  <si>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</si>
  <si>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</si>
  <si>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</si>
  <si>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</si>
  <si>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</si>
  <si>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</si>
  <si>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</si>
  <si>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</si>
  <si>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</si>
  <si>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</si>
  <si>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ANEXO I - METAS FISCAIS</t>
  </si>
  <si>
    <t xml:space="preserve">  Receitas Primárias (I)</t>
  </si>
  <si>
    <t>Despesas Primárias (II)</t>
  </si>
  <si>
    <t>Fonte: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</si>
  <si>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</si>
  <si>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</si>
  <si>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</si>
  <si>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</si>
  <si>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</si>
  <si>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</si>
  <si>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</si>
  <si>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</si>
  <si>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DA ESTIMATIVA E COMPENSAÇÃO DA RENÚNCIA DE RECEITA</t>
  </si>
  <si>
    <t>Rendimentos de Aplicações Financeiras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</si>
  <si>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</si>
  <si>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</si>
  <si>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</si>
  <si>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</si>
  <si>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</si>
  <si>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</si>
  <si>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</si>
  <si>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</si>
  <si>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</si>
  <si>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</si>
  <si>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</si>
  <si>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</si>
  <si>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</si>
  <si>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</si>
  <si>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</si>
  <si>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</si>
  <si>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</si>
  <si>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</si>
  <si>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</si>
  <si>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>PREVISÕES DA LEI DE ORÇAMENTO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</si>
  <si>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</si>
  <si>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</si>
  <si>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</si>
  <si>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</si>
  <si>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 xml:space="preserve">DEMONSTRATIVO DA MARGEM DE EXPANSÃO DAS DESPESAS OBRIGATÓRIAS DE CARÁTER CONTINUADO  </t>
  </si>
  <si>
    <t>Outras Inversões Financeiras</t>
  </si>
  <si>
    <t>da Prefeitura Municipal</t>
  </si>
  <si>
    <t>Rendimento de Aplicações Financeira de Alienaç de Bens</t>
  </si>
  <si>
    <t xml:space="preserve">CRESCIMENTO DOS INVESTIMENTOS </t>
  </si>
  <si>
    <t>cando-se, sobre eles, as projeções de inflação para os referidos exercícios a saber:</t>
  </si>
  <si>
    <t>Execício</t>
  </si>
  <si>
    <t>Exercício</t>
  </si>
  <si>
    <t>TABELA 02 - Demonstraitvo da Evolução da Dívida e Resultado Nominal</t>
  </si>
  <si>
    <t>(-)  Transferências ao FUNDEB</t>
  </si>
  <si>
    <t>PIB / RS (em R$ milhões)</t>
  </si>
  <si>
    <t>Receitas de Contribuições -   P M</t>
  </si>
  <si>
    <t>1.2.0.0.0.0.0.0.0.0.0</t>
  </si>
  <si>
    <t>Rendimentos de Aplicações - PM</t>
  </si>
  <si>
    <t>Outras Receitas Correntes -  P M</t>
  </si>
  <si>
    <t>7.2.1.0.00.00.00.00</t>
  </si>
  <si>
    <t>Pessoal  Próprio</t>
  </si>
  <si>
    <t>Outras Despesas Correntes</t>
  </si>
  <si>
    <t>Invetimentos</t>
  </si>
  <si>
    <t>RESERVA DE CONTINGÊNCIA DO RPPS</t>
  </si>
  <si>
    <t xml:space="preserve">  Receita Total RPPS</t>
  </si>
  <si>
    <t xml:space="preserve">  Receitas Primárias RPPS (I)</t>
  </si>
  <si>
    <t xml:space="preserve"> Despesa Total RPPS</t>
  </si>
  <si>
    <t>Despesas Primárias RPPS (II)</t>
  </si>
  <si>
    <t xml:space="preserve"> Resultado Primário  RPPS (I – II)</t>
  </si>
  <si>
    <t>DEMONSTRATIVO DAS METAS ANUAIS - CONSOLIDADO</t>
  </si>
  <si>
    <t>DEMONSTRATIVO DAS METAS DE RESULTADO PRIMÁRIO DO PREGIME PRÓPRIO DE PREVIDÊNCIA SOCIAL</t>
  </si>
  <si>
    <t>DEMONSTRATIVO DAS METAS DE RESULTADO PRIMÁRIO (EXCLUÍDAS A RECEITAS E DESPESAS DO RPPS)</t>
  </si>
  <si>
    <t xml:space="preserve">  Receita Total </t>
  </si>
  <si>
    <t xml:space="preserve"> Despesa Total </t>
  </si>
  <si>
    <t>Despesas Primárias  (II)</t>
  </si>
  <si>
    <t xml:space="preserve">Operações de Crédito / Pagamentos </t>
  </si>
  <si>
    <t>ANEXO DE  METAS FISCAIS</t>
  </si>
  <si>
    <t xml:space="preserve">   RECEITAS CORRENTES</t>
  </si>
  <si>
    <t xml:space="preserve">      Receita de Contribuições</t>
  </si>
  <si>
    <t xml:space="preserve">         Pessoal Civil</t>
  </si>
  <si>
    <t xml:space="preserve">         Pessoal Militar</t>
  </si>
  <si>
    <t xml:space="preserve">      Receita Patrimonial</t>
  </si>
  <si>
    <t xml:space="preserve">      Receita de Serviços </t>
  </si>
  <si>
    <t xml:space="preserve">      Outras Receitas Correntes</t>
  </si>
  <si>
    <t xml:space="preserve">         Compensação Previdenciária do RGPS para o RPPS</t>
  </si>
  <si>
    <t xml:space="preserve">         Outras Receitas Correntes</t>
  </si>
  <si>
    <t xml:space="preserve">   RECEITAS DE CAPITAL</t>
  </si>
  <si>
    <t xml:space="preserve">      Amortização de Empréstimos</t>
  </si>
  <si>
    <t xml:space="preserve">      Outras Receitas de Capital</t>
  </si>
  <si>
    <t xml:space="preserve">   ADMINISTRAÇÃO</t>
  </si>
  <si>
    <t xml:space="preserve">      Despesas Correntes</t>
  </si>
  <si>
    <t xml:space="preserve">      Despesas de Capital</t>
  </si>
  <si>
    <t xml:space="preserve">      Pessoal Militar   </t>
  </si>
  <si>
    <t xml:space="preserve">      Outras Despesas Previdenciárias</t>
  </si>
  <si>
    <t xml:space="preserve">         Compensação Previdenciária do RPPS para o RGPS</t>
  </si>
  <si>
    <t xml:space="preserve">         Demais Despesas Previdenciárias</t>
  </si>
  <si>
    <t>PROJEÇÃO ATUARIAL DO RPPS</t>
  </si>
  <si>
    <t>AMF – Tabela 7 (LRF, art.4º, § 2º, inciso IV, alínea “a”)</t>
  </si>
  <si>
    <t>RESULTADO PREVIDENCIÁRIO</t>
  </si>
  <si>
    <t>DO EXERCÍCIO</t>
  </si>
  <si>
    <t>(c) = (a-b)</t>
  </si>
  <si>
    <t>(d) = (d Exercício</t>
  </si>
  <si>
    <t>anterior) + (c)</t>
  </si>
  <si>
    <t xml:space="preserve"> (1) Dívida Consolidada </t>
  </si>
  <si>
    <t>(2)  Disponibilidades Financeiras (Líquidas)</t>
  </si>
  <si>
    <t>(3) Dívida Consolidada Líquida</t>
  </si>
  <si>
    <t>(4) Passivos Reconhecidos</t>
  </si>
  <si>
    <t>(5) Dívida Fiscal Líquida</t>
  </si>
  <si>
    <t>(6) Resultado Nominal</t>
  </si>
  <si>
    <t>TABELA  01 - Parâmentos Utilizados nas Estimativas das Receitas e Despesas</t>
  </si>
  <si>
    <t>TRIBUTO</t>
  </si>
  <si>
    <t>MODALIDADE</t>
  </si>
  <si>
    <t>SETORES/ PROGRAMAS/ BENEFICIÁRIO</t>
  </si>
  <si>
    <t xml:space="preserve">          -</t>
  </si>
  <si>
    <t>Vide Obsevação</t>
  </si>
  <si>
    <t>abaixo</t>
  </si>
  <si>
    <t>DESPESAS  EXECUTADAS</t>
  </si>
  <si>
    <t>Receita Prevista (já deduzido o FUNDEB)</t>
  </si>
  <si>
    <t>AMF - Demonstrativo I (LRF, art. 4º, § 1º)</t>
  </si>
  <si>
    <t>AMF - Demonstativo I (LRF, art. 4º, § 1º)</t>
  </si>
  <si>
    <t>AMF - Demonstrativo II (LRF, art. 4º, §2º, inciso I)</t>
  </si>
  <si>
    <t>AMF – Demonstrativo III (LRF, art.4º, §2º, inciso II)</t>
  </si>
  <si>
    <t>AMF - Demonstrativo IV (LRF, art.4º, §2º, inciso III)</t>
  </si>
  <si>
    <t>AMF - Demonstrativo V (LRF, art.4º, §2º, inciso III)</t>
  </si>
  <si>
    <t>AMF - Demonstrativo VIII (LRF, art. 4°, § 2°, inciso V)</t>
  </si>
  <si>
    <t>AMF - Demonstrativo IX (LRF, art. 4°, § 2°, inciso V)</t>
  </si>
  <si>
    <t>9.0.0.0.00.00.00.00</t>
  </si>
  <si>
    <t>Cronograma Anual de Operações Realizadas e do Serviço da Dívida</t>
  </si>
  <si>
    <t>ANEXO DE RISCOS FISCAIS</t>
  </si>
  <si>
    <r>
      <t>ARF (LRF, art 4</t>
    </r>
    <r>
      <rPr>
        <u val="single"/>
        <vertAlign val="superscript"/>
        <sz val="8"/>
        <rFont val="Arial"/>
        <family val="2"/>
      </rPr>
      <t>o</t>
    </r>
    <r>
      <rPr>
        <sz val="8"/>
        <rFont val="Arial"/>
        <family val="2"/>
      </rPr>
      <t>, § 3</t>
    </r>
    <r>
      <rPr>
        <u val="single"/>
        <vertAlign val="superscript"/>
        <sz val="8"/>
        <rFont val="Arial"/>
        <family val="2"/>
      </rPr>
      <t>o</t>
    </r>
    <r>
      <rPr>
        <sz val="8"/>
        <rFont val="Arial"/>
        <family val="2"/>
      </rPr>
      <t>)</t>
    </r>
  </si>
  <si>
    <t>PASSIVOS CONTINGENTES</t>
  </si>
  <si>
    <t>Demandas Judiciais</t>
  </si>
  <si>
    <t>Dívidas em Processo de Reconhecimento</t>
  </si>
  <si>
    <t>Avais e Garantias Concedidas</t>
  </si>
  <si>
    <t>Assunção de Passivos</t>
  </si>
  <si>
    <t>Assistências Diversas</t>
  </si>
  <si>
    <t>Outros Passivos Contingentes</t>
  </si>
  <si>
    <t>SUBTOTAL</t>
  </si>
  <si>
    <t>DEMAIS RISCOS FISCAIS PASSIVOS</t>
  </si>
  <si>
    <t>Frustração de Arrecadação</t>
  </si>
  <si>
    <t>Restituição de Tributos a Maior</t>
  </si>
  <si>
    <t>Discrepância de Projeções:</t>
  </si>
  <si>
    <t>Outros Riscos Fiscais</t>
  </si>
  <si>
    <t>RECEITAS E DESPESAS PREVIDENCIÁRIAS DO REGIME PRÓPRIO DE PREVIDÊNCIA DOS SERVIDORES</t>
  </si>
  <si>
    <t>AMF - Demonstrativo VI (LRF, art.4º, §2º, inciso IV, alínea "a")</t>
  </si>
  <si>
    <t>RECEITAS</t>
  </si>
  <si>
    <t>RECEITAS PREVIDENCIÁRIAS - RPPS (EXCETO INTRA-ORÇAMENTÁRIAS) (I)</t>
  </si>
  <si>
    <t xml:space="preserve">      Receita de Contribuições dos Segurados</t>
  </si>
  <si>
    <t xml:space="preserve">      Outras Receitas de Contribuições</t>
  </si>
  <si>
    <t xml:space="preserve">      Alienação de Bens, Direitos e Ativos</t>
  </si>
  <si>
    <t xml:space="preserve">   (–) DEDUÇÕES DA RECEITA</t>
  </si>
  <si>
    <t>RECEITAS PREVIDENCIÁRIAS - RPPS (INTRA-ORÇAMENTÁRIAS) (II)</t>
  </si>
  <si>
    <t xml:space="preserve">         Patronal</t>
  </si>
  <si>
    <t xml:space="preserve">            Pessoal Civil</t>
  </si>
  <si>
    <t xml:space="preserve">            Pessoal Militar</t>
  </si>
  <si>
    <t xml:space="preserve">         Cobertura de Déficit Atuarial</t>
  </si>
  <si>
    <t xml:space="preserve">         Regime de Débitos e Parcelamentos</t>
  </si>
  <si>
    <t>TOTAL DAS RECEITAS PREVIDENCIÁRIAS (III) = (I + II)</t>
  </si>
  <si>
    <t>DESPESAS</t>
  </si>
  <si>
    <t>DESPESAS PREVIDENCIÁRIAS - RPPS (EXCETO INTRA-ORÇAMENTÁRIAS) (IV)</t>
  </si>
  <si>
    <t xml:space="preserve">   PREVIDÊNCIA</t>
  </si>
  <si>
    <t>DESPESAS PREVIDENCIÁRIAS - RPPS (INTRA-ORÇAMENTÁRIAS) (V)</t>
  </si>
  <si>
    <t>TOTAL DAS DESPESAS PREVIDENCIÁRIAS (VI) = (IV + V)</t>
  </si>
  <si>
    <t>RESULTADO PREVIDENCIÁRIO (VII) = (III – VI)</t>
  </si>
  <si>
    <t>APORTES DE RECURSOS PARA O REGIME PRÓPRIO 
DE PREVIDÊNCIA DO SERVIDOR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</si>
  <si>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</si>
  <si>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</si>
  <si>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</si>
  <si>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</si>
  <si>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</si>
  <si>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</si>
  <si>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</si>
  <si>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</si>
  <si>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</si>
  <si>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BENS E DIREITOS DO RPPS</t>
  </si>
  <si>
    <t>CONSOLIDAÇÃO GERAL</t>
  </si>
  <si>
    <t xml:space="preserve">   Novas DOCC</t>
  </si>
  <si>
    <t xml:space="preserve">   Novas DOCC geradas por PPP</t>
  </si>
  <si>
    <t>Margem Líquida de Expansão de DOCC (V) = (III-IV)</t>
  </si>
  <si>
    <t>(-) Transferências Constitucionais</t>
  </si>
  <si>
    <t>9.9.99.99.99.99.01</t>
  </si>
  <si>
    <t>9.9.99.99.99.99.02</t>
  </si>
  <si>
    <t>ANEXO  III -  METAS E PRIORIDADES</t>
  </si>
  <si>
    <t xml:space="preserve">PROGRAMA: </t>
  </si>
  <si>
    <t xml:space="preserve">OBJETIVO: </t>
  </si>
  <si>
    <t>TIPO (*)</t>
  </si>
  <si>
    <t>Ação</t>
  </si>
  <si>
    <t>Unidade de Medida</t>
  </si>
  <si>
    <t>Produto</t>
  </si>
  <si>
    <t>Meta Física</t>
  </si>
  <si>
    <r>
      <t>TOTAL DO PROGRAMA   =======================================</t>
    </r>
    <r>
      <rPr>
        <b/>
        <sz val="9"/>
        <rFont val="Wingdings"/>
        <family val="0"/>
      </rPr>
      <t>è</t>
    </r>
  </si>
  <si>
    <t xml:space="preserve">(*)  Tipo:  P – Projeto       A - Atividade </t>
  </si>
  <si>
    <t xml:space="preserve">OE – Operação Especial      NO – Não-orçamentária            </t>
  </si>
  <si>
    <t xml:space="preserve">MUNICÍPIO DE: </t>
  </si>
  <si>
    <t>ANEXO IV</t>
  </si>
  <si>
    <t xml:space="preserve">RELATÓRIO SOBRE PROJETOS EM EXECUÇÃO E A EXECUTAR   E DESPESAS COM CONSERVAÇÃO DO PATRIMÔNIO PÚBLICO </t>
  </si>
  <si>
    <t>(Art. 45 da LRF)</t>
  </si>
  <si>
    <t>EXECUÇÃO %</t>
  </si>
  <si>
    <t>IDENTIFICAÇÃO DAS AÇÕES</t>
  </si>
  <si>
    <t>INÍCIO DA EXECUÇÃO</t>
  </si>
  <si>
    <t>VALOR DO PROJETO</t>
  </si>
  <si>
    <t>PROJETOS EM EXECUÇÃO</t>
  </si>
  <si>
    <t>NOVOS PROJETOS</t>
  </si>
  <si>
    <t>Total dos Recursos a Priorizar</t>
  </si>
  <si>
    <t xml:space="preserve">Receita de Contribuições  -  R P P S  </t>
  </si>
  <si>
    <t xml:space="preserve">Rendimentos de Aplicações - RPPS </t>
  </si>
  <si>
    <t xml:space="preserve">Outras Receitas Correntes - R P P S </t>
  </si>
  <si>
    <t xml:space="preserve">Receitas Intra Orçamentárias - RPPS </t>
  </si>
  <si>
    <t xml:space="preserve">Pessoal  do  R P P S  </t>
  </si>
  <si>
    <t xml:space="preserve">Juros e encargos da Dívida RPPS  </t>
  </si>
  <si>
    <t xml:space="preserve">Outras Despesas Corrente  RPPS </t>
  </si>
  <si>
    <t xml:space="preserve">Invetimentos  RPPS  </t>
  </si>
  <si>
    <t>MEMÓRIA DE CÁLCULO DAS RECEITAS E DESPESAS - LDO PARA  2016</t>
  </si>
  <si>
    <t>Receita de Contribuições  -  R P P S</t>
  </si>
  <si>
    <t xml:space="preserve">Pessoal  do  R P P S </t>
  </si>
  <si>
    <t xml:space="preserve">Juros e encargos da Dívida RPPS </t>
  </si>
  <si>
    <t>Outras Despesas Corrente  RPPS</t>
  </si>
  <si>
    <t xml:space="preserve">Invetimentos  RPPS </t>
  </si>
  <si>
    <t>. . .</t>
  </si>
  <si>
    <t>Inflação para 2018:</t>
  </si>
  <si>
    <t>CONSERVAÇÃO DO PATRIMÔNIO</t>
  </si>
  <si>
    <t>Receitas Primárias Advindas de PPP (IV)</t>
  </si>
  <si>
    <t>Despesas Primárias Geradas por PPP (V)</t>
  </si>
  <si>
    <t>Impacto do Saldo das PPP (VI) = (IV) - (V)</t>
  </si>
  <si>
    <t>Fonte: Sistema &lt;Nome&gt;, Unidade Responsável &lt;Nome&gt;, Data da emissão &lt;dd/mmm/aaaa&gt; e hora de emissão &lt;hhh e mmm&gt;</t>
  </si>
  <si>
    <r>
      <t xml:space="preserve">Fonte: </t>
    </r>
    <r>
      <rPr>
        <sz val="8"/>
        <rFont val="Arial"/>
        <family val="2"/>
      </rPr>
      <t>Sistema &lt;Nome&gt;, Unidade Responsável &lt;Nome&gt;, Data da emissão &lt;dd/mmm/aaaa&gt; e hora de emissão &lt;hhh e mmm&gt;</t>
    </r>
  </si>
  <si>
    <t> FONTE: Sistema &lt;Nome&gt;, Unidade Responsável &lt;Nome&gt;, Data da emissão &lt;dd/mmm/aaaa&gt; e hora de emissão &lt;hhh e mmm&gt;</t>
  </si>
  <si>
    <r>
      <t xml:space="preserve">Fonte: </t>
    </r>
    <r>
      <rPr>
        <sz val="10"/>
        <rFont val="Arial"/>
        <family val="2"/>
      </rPr>
      <t>Nota Técnica Atuarial elaborada por . . . .     Data:</t>
    </r>
  </si>
  <si>
    <t>Fonte:  Sistema &lt;Nome&gt;, Unidade Responsável &lt;Nome&gt;, Data da emissão &lt;dd/mmm/aaaa&gt; e hora de emissão &lt;hhh e mmm&gt;</t>
  </si>
  <si>
    <t>Taxa de Juros Selic (Média do Ano)</t>
  </si>
  <si>
    <t>LEI DE DIRETRIZES ORÇAMENTÁRIAS  PARA 2017</t>
  </si>
  <si>
    <t>LEI DE DIRETRIZES ORÇAMENTÁRIAS PARA 2017</t>
  </si>
  <si>
    <t>EXERCÍCIO DE 2017</t>
  </si>
  <si>
    <t>2015 (a)</t>
  </si>
  <si>
    <t>2015 (b)</t>
  </si>
  <si>
    <t xml:space="preserve"> EXERCÍCIO DE 2017</t>
  </si>
  <si>
    <t xml:space="preserve">EXERCÍCIO DE 2017 </t>
  </si>
  <si>
    <t>SALDOS DE EXERCÍCIOS ANTERIORES A 2013</t>
  </si>
  <si>
    <t>Exercíocio de 2017</t>
  </si>
  <si>
    <t>Obs:  1 -   Os valores da renúncia para 2017 foram previstos de acordo com informações do setor tributário</t>
  </si>
  <si>
    <t>2 - Os valores da renúncia projetados para 2018 e 2019, foram claculados a partir dos valores de 2017, apli</t>
  </si>
  <si>
    <t>Inflação para 2019:</t>
  </si>
  <si>
    <t>Valor Previsto 2017</t>
  </si>
  <si>
    <t>LEI DE DIRETRIZES ORÇAMENTÁRIAS – 2017</t>
  </si>
  <si>
    <t>LEI DE DIRETRIZES ORÇAMENTÁRIAS - 2017</t>
  </si>
  <si>
    <t>ATÉ EXERC ANTERIOR - 2015</t>
  </si>
  <si>
    <t>NO EXERCÍCIO DE 2016</t>
  </si>
  <si>
    <t>A EXECUTAR EM 2017</t>
  </si>
  <si>
    <t>RECURSOS PRIORIZADOS PARA 2017</t>
  </si>
  <si>
    <t>ARRECADADA</t>
  </si>
  <si>
    <t>REALIZADA</t>
  </si>
  <si>
    <t>,</t>
  </si>
  <si>
    <t>0,,</t>
  </si>
  <si>
    <t>Município de :CARAÁ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</si>
</sst>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[Red]\(0\)"/>
    <numFmt numFmtId="185" formatCode="#,##0.0"/>
    <numFmt numFmtId="186" formatCode="mmm\-yy"/>
    <numFmt numFmtId="187" formatCode="d/m"/>
    <numFmt numFmtId="188" formatCode="d/m/yy"/>
    <numFmt numFmtId="189" formatCode="mmmm\-yy"/>
    <numFmt numFmtId="190" formatCode="d\-mmm"/>
    <numFmt numFmtId="191" formatCode="0.0"/>
    <numFmt numFmtId="192" formatCode="0.000"/>
    <numFmt numFmtId="193" formatCode="\ @"/>
    <numFmt numFmtId="194" formatCode="\ \ \ \ @"/>
    <numFmt numFmtId="195" formatCode="\ \ \ \ \ @"/>
    <numFmt numFmtId="196" formatCode="\ \ \ \ \ \ \ \ \ \ \ \ \ \ \ @"/>
    <numFmt numFmtId="197" formatCode="0.000%"/>
    <numFmt numFmtId="198" formatCode="[$-416]dddd\,\ d&quot; de &quot;mmmm&quot; de &quot;yyyy"/>
    <numFmt numFmtId="199" formatCode="00000"/>
  </numFmts>
  <fonts count="7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sz val="7"/>
      <name val="Arial"/>
      <family val="2"/>
    </font>
    <font>
      <b/>
      <i/>
      <sz val="11"/>
      <name val="Arial"/>
      <family val="2"/>
    </font>
    <font>
      <u val="single"/>
      <vertAlign val="superscript"/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Wingdings"/>
      <family val="0"/>
    </font>
    <font>
      <b/>
      <sz val="10"/>
      <color indexed="10"/>
      <name val="Arial"/>
      <family val="2"/>
    </font>
    <font>
      <b/>
      <sz val="12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 style="thick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6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7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16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38" fontId="4" fillId="0" borderId="0" xfId="0" applyNumberFormat="1" applyFont="1" applyAlignment="1" applyProtection="1">
      <alignment/>
      <protection locked="0"/>
    </xf>
    <xf numFmtId="38" fontId="4" fillId="0" borderId="0" xfId="0" applyNumberFormat="1" applyFont="1" applyBorder="1" applyAlignment="1" applyProtection="1">
      <alignment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84" fontId="5" fillId="33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 applyProtection="1">
      <alignment/>
      <protection locked="0"/>
    </xf>
    <xf numFmtId="184" fontId="3" fillId="33" borderId="10" xfId="0" applyNumberFormat="1" applyFont="1" applyFill="1" applyBorder="1" applyAlignment="1" applyProtection="1">
      <alignment horizontal="center"/>
      <protection locked="0"/>
    </xf>
    <xf numFmtId="38" fontId="3" fillId="0" borderId="10" xfId="0" applyNumberFormat="1" applyFont="1" applyBorder="1" applyAlignment="1" applyProtection="1">
      <alignment/>
      <protection locked="0"/>
    </xf>
    <xf numFmtId="38" fontId="3" fillId="0" borderId="11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4" borderId="0" xfId="51" applyFont="1" applyFill="1" applyBorder="1" applyAlignment="1" applyProtection="1">
      <alignment/>
      <protection locked="0"/>
    </xf>
    <xf numFmtId="0" fontId="8" fillId="34" borderId="0" xfId="0" applyFont="1" applyFill="1" applyBorder="1" applyAlignment="1" applyProtection="1">
      <alignment horizontal="right"/>
      <protection locked="0"/>
    </xf>
    <xf numFmtId="38" fontId="7" fillId="34" borderId="10" xfId="0" applyNumberFormat="1" applyFont="1" applyFill="1" applyBorder="1" applyAlignment="1" applyProtection="1">
      <alignment/>
      <protection locked="0"/>
    </xf>
    <xf numFmtId="38" fontId="7" fillId="34" borderId="12" xfId="0" applyNumberFormat="1" applyFont="1" applyFill="1" applyBorder="1" applyAlignment="1" applyProtection="1">
      <alignment/>
      <protection locked="0"/>
    </xf>
    <xf numFmtId="184" fontId="3" fillId="33" borderId="11" xfId="0" applyNumberFormat="1" applyFont="1" applyFill="1" applyBorder="1" applyAlignment="1" applyProtection="1">
      <alignment horizontal="center"/>
      <protection locked="0"/>
    </xf>
    <xf numFmtId="184" fontId="5" fillId="33" borderId="0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9" fillId="0" borderId="13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167" fontId="17" fillId="0" borderId="16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19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7" fontId="19" fillId="0" borderId="16" xfId="0" applyNumberFormat="1" applyFont="1" applyBorder="1" applyAlignment="1">
      <alignment horizontal="right" wrapText="1"/>
    </xf>
    <xf numFmtId="0" fontId="19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1" fillId="35" borderId="18" xfId="0" applyFont="1" applyFill="1" applyBorder="1" applyAlignment="1">
      <alignment/>
    </xf>
    <xf numFmtId="0" fontId="11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9" fillId="35" borderId="18" xfId="0" applyFont="1" applyFill="1" applyBorder="1" applyAlignment="1">
      <alignment/>
    </xf>
    <xf numFmtId="0" fontId="9" fillId="35" borderId="20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9" fillId="35" borderId="15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9" fillId="35" borderId="24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0" fillId="35" borderId="21" xfId="0" applyFill="1" applyBorder="1" applyAlignment="1">
      <alignment/>
    </xf>
    <xf numFmtId="4" fontId="9" fillId="35" borderId="25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38" fontId="22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38" fontId="24" fillId="0" borderId="0" xfId="0" applyNumberFormat="1" applyFont="1" applyBorder="1" applyAlignment="1" applyProtection="1">
      <alignment horizontal="centerContinuous"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5" fillId="34" borderId="0" xfId="0" applyFont="1" applyFill="1" applyBorder="1" applyAlignment="1" applyProtection="1">
      <alignment horizontal="right"/>
      <protection locked="0"/>
    </xf>
    <xf numFmtId="184" fontId="1" fillId="33" borderId="26" xfId="0" applyNumberFormat="1" applyFont="1" applyFill="1" applyBorder="1" applyAlignment="1">
      <alignment horizontal="center" vertical="center"/>
    </xf>
    <xf numFmtId="0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24" fillId="0" borderId="27" xfId="0" applyNumberFormat="1" applyFont="1" applyBorder="1" applyAlignment="1" applyProtection="1">
      <alignment/>
      <protection locked="0"/>
    </xf>
    <xf numFmtId="4" fontId="24" fillId="34" borderId="26" xfId="0" applyNumberFormat="1" applyFont="1" applyFill="1" applyBorder="1" applyAlignment="1" applyProtection="1">
      <alignment vertical="center"/>
      <protection locked="0"/>
    </xf>
    <xf numFmtId="4" fontId="2" fillId="34" borderId="26" xfId="0" applyNumberFormat="1" applyFont="1" applyFill="1" applyBorder="1" applyAlignment="1" applyProtection="1">
      <alignment/>
      <protection locked="0"/>
    </xf>
    <xf numFmtId="38" fontId="24" fillId="0" borderId="0" xfId="0" applyNumberFormat="1" applyFont="1" applyAlignment="1" applyProtection="1">
      <alignment/>
      <protection locked="0"/>
    </xf>
    <xf numFmtId="184" fontId="14" fillId="33" borderId="27" xfId="0" applyNumberFormat="1" applyFont="1" applyFill="1" applyBorder="1" applyAlignment="1" applyProtection="1">
      <alignment horizontal="center"/>
      <protection locked="0"/>
    </xf>
    <xf numFmtId="184" fontId="14" fillId="33" borderId="26" xfId="0" applyNumberFormat="1" applyFont="1" applyFill="1" applyBorder="1" applyAlignment="1" applyProtection="1">
      <alignment horizontal="center"/>
      <protection locked="0"/>
    </xf>
    <xf numFmtId="184" fontId="1" fillId="33" borderId="27" xfId="0" applyNumberFormat="1" applyFont="1" applyFill="1" applyBorder="1" applyAlignment="1">
      <alignment horizontal="center" vertical="center"/>
    </xf>
    <xf numFmtId="38" fontId="14" fillId="0" borderId="27" xfId="0" applyNumberFormat="1" applyFont="1" applyBorder="1" applyAlignment="1" applyProtection="1">
      <alignment/>
      <protection locked="0"/>
    </xf>
    <xf numFmtId="38" fontId="14" fillId="0" borderId="26" xfId="0" applyNumberFormat="1" applyFont="1" applyBorder="1" applyAlignment="1" applyProtection="1">
      <alignment/>
      <protection locked="0"/>
    </xf>
    <xf numFmtId="38" fontId="14" fillId="34" borderId="26" xfId="0" applyNumberFormat="1" applyFont="1" applyFill="1" applyBorder="1" applyAlignment="1" applyProtection="1">
      <alignment/>
      <protection locked="0"/>
    </xf>
    <xf numFmtId="38" fontId="14" fillId="0" borderId="28" xfId="0" applyNumberFormat="1" applyFont="1" applyBorder="1" applyAlignment="1" applyProtection="1">
      <alignment/>
      <protection locked="0"/>
    </xf>
    <xf numFmtId="38" fontId="14" fillId="34" borderId="29" xfId="0" applyNumberFormat="1" applyFont="1" applyFill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4" fontId="0" fillId="36" borderId="25" xfId="0" applyNumberFormat="1" applyFont="1" applyFill="1" applyBorder="1" applyAlignment="1">
      <alignment/>
    </xf>
    <xf numFmtId="0" fontId="9" fillId="35" borderId="30" xfId="0" applyFont="1" applyFill="1" applyBorder="1" applyAlignment="1">
      <alignment horizontal="center"/>
    </xf>
    <xf numFmtId="0" fontId="18" fillId="0" borderId="15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49" fontId="17" fillId="0" borderId="31" xfId="0" applyNumberFormat="1" applyFont="1" applyBorder="1" applyAlignment="1">
      <alignment horizontal="justify" wrapText="1"/>
    </xf>
    <xf numFmtId="0" fontId="0" fillId="0" borderId="0" xfId="0" applyAlignment="1">
      <alignment wrapText="1"/>
    </xf>
    <xf numFmtId="0" fontId="0" fillId="0" borderId="32" xfId="0" applyBorder="1" applyAlignment="1">
      <alignment horizontal="justify" wrapText="1"/>
    </xf>
    <xf numFmtId="0" fontId="0" fillId="0" borderId="33" xfId="0" applyBorder="1" applyAlignment="1">
      <alignment horizontal="justify" wrapText="1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34" borderId="0" xfId="0" applyFont="1" applyFill="1" applyBorder="1" applyAlignment="1">
      <alignment/>
    </xf>
    <xf numFmtId="4" fontId="25" fillId="34" borderId="0" xfId="51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10" fontId="0" fillId="0" borderId="0" xfId="0" applyNumberFormat="1" applyAlignment="1">
      <alignment/>
    </xf>
    <xf numFmtId="4" fontId="0" fillId="35" borderId="25" xfId="0" applyNumberFormat="1" applyFont="1" applyFill="1" applyBorder="1" applyAlignment="1">
      <alignment/>
    </xf>
    <xf numFmtId="4" fontId="0" fillId="36" borderId="0" xfId="0" applyNumberFormat="1" applyFont="1" applyFill="1" applyBorder="1" applyAlignment="1">
      <alignment/>
    </xf>
    <xf numFmtId="4" fontId="9" fillId="35" borderId="0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171" fontId="9" fillId="0" borderId="25" xfId="0" applyNumberFormat="1" applyFont="1" applyFill="1" applyBorder="1" applyAlignment="1">
      <alignment/>
    </xf>
    <xf numFmtId="171" fontId="0" fillId="0" borderId="2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5" fillId="0" borderId="0" xfId="0" applyFont="1" applyBorder="1" applyAlignment="1">
      <alignment/>
    </xf>
    <xf numFmtId="38" fontId="13" fillId="0" borderId="0" xfId="0" applyNumberFormat="1" applyFont="1" applyBorder="1" applyAlignment="1" applyProtection="1">
      <alignment/>
      <protection locked="0"/>
    </xf>
    <xf numFmtId="171" fontId="2" fillId="0" borderId="15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 vertical="top" wrapText="1"/>
    </xf>
    <xf numFmtId="167" fontId="19" fillId="0" borderId="16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 horizontal="right" vertical="top" wrapText="1"/>
    </xf>
    <xf numFmtId="167" fontId="19" fillId="0" borderId="17" xfId="0" applyNumberFormat="1" applyFont="1" applyFill="1" applyBorder="1" applyAlignment="1">
      <alignment horizontal="right" vertical="top" wrapText="1"/>
    </xf>
    <xf numFmtId="0" fontId="19" fillId="0" borderId="24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top"/>
    </xf>
    <xf numFmtId="0" fontId="19" fillId="0" borderId="22" xfId="0" applyFont="1" applyFill="1" applyBorder="1" applyAlignment="1">
      <alignment horizontal="center" wrapText="1"/>
    </xf>
    <xf numFmtId="0" fontId="19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right" vertical="top" wrapText="1"/>
    </xf>
    <xf numFmtId="0" fontId="17" fillId="0" borderId="35" xfId="0" applyFont="1" applyBorder="1" applyAlignment="1">
      <alignment horizontal="left"/>
    </xf>
    <xf numFmtId="169" fontId="0" fillId="0" borderId="15" xfId="0" applyNumberFormat="1" applyFont="1" applyFill="1" applyBorder="1" applyAlignment="1" applyProtection="1">
      <alignment horizontal="right"/>
      <protection locked="0"/>
    </xf>
    <xf numFmtId="169" fontId="0" fillId="0" borderId="14" xfId="0" applyNumberFormat="1" applyFont="1" applyFill="1" applyBorder="1" applyAlignment="1" applyProtection="1">
      <alignment horizontal="right"/>
      <protection locked="0"/>
    </xf>
    <xf numFmtId="171" fontId="21" fillId="0" borderId="15" xfId="0" applyNumberFormat="1" applyFont="1" applyFill="1" applyBorder="1" applyAlignment="1" applyProtection="1">
      <alignment vertical="top" wrapText="1"/>
      <protection locked="0"/>
    </xf>
    <xf numFmtId="171" fontId="21" fillId="0" borderId="14" xfId="0" applyNumberFormat="1" applyFont="1" applyFill="1" applyBorder="1" applyAlignment="1" applyProtection="1">
      <alignment vertical="top" wrapText="1"/>
      <protection locked="0"/>
    </xf>
    <xf numFmtId="4" fontId="0" fillId="0" borderId="25" xfId="0" applyNumberFormat="1" applyFont="1" applyBorder="1" applyAlignment="1" applyProtection="1">
      <alignment/>
      <protection locked="0"/>
    </xf>
    <xf numFmtId="4" fontId="9" fillId="0" borderId="25" xfId="0" applyNumberFormat="1" applyFont="1" applyBorder="1" applyAlignment="1" applyProtection="1">
      <alignment/>
      <protection locked="0"/>
    </xf>
    <xf numFmtId="4" fontId="0" fillId="0" borderId="25" xfId="0" applyNumberFormat="1" applyFont="1" applyFill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36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 wrapText="1"/>
    </xf>
    <xf numFmtId="0" fontId="0" fillId="0" borderId="38" xfId="0" applyFont="1" applyFill="1" applyBorder="1" applyAlignment="1">
      <alignment horizontal="left" wrapText="1"/>
    </xf>
    <xf numFmtId="167" fontId="0" fillId="0" borderId="39" xfId="0" applyNumberFormat="1" applyFont="1" applyFill="1" applyBorder="1" applyAlignment="1">
      <alignment horizontal="right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wrapText="1"/>
    </xf>
    <xf numFmtId="171" fontId="0" fillId="0" borderId="15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171" fontId="0" fillId="0" borderId="14" xfId="0" applyNumberFormat="1" applyFont="1" applyFill="1" applyBorder="1" applyAlignment="1">
      <alignment wrapText="1"/>
    </xf>
    <xf numFmtId="0" fontId="0" fillId="0" borderId="35" xfId="0" applyFont="1" applyFill="1" applyBorder="1" applyAlignment="1">
      <alignment horizontal="left"/>
    </xf>
    <xf numFmtId="0" fontId="17" fillId="0" borderId="16" xfId="0" applyFont="1" applyFill="1" applyBorder="1" applyAlignment="1">
      <alignment wrapText="1"/>
    </xf>
    <xf numFmtId="0" fontId="17" fillId="0" borderId="16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30" fillId="0" borderId="0" xfId="0" applyFont="1" applyAlignment="1">
      <alignment/>
    </xf>
    <xf numFmtId="4" fontId="10" fillId="34" borderId="0" xfId="51" applyNumberFormat="1" applyFont="1" applyFill="1" applyBorder="1" applyAlignment="1">
      <alignment/>
    </xf>
    <xf numFmtId="4" fontId="21" fillId="34" borderId="0" xfId="51" applyNumberFormat="1" applyFont="1" applyFill="1" applyBorder="1" applyAlignment="1">
      <alignment/>
    </xf>
    <xf numFmtId="0" fontId="10" fillId="0" borderId="0" xfId="0" applyFont="1" applyAlignment="1">
      <alignment/>
    </xf>
    <xf numFmtId="4" fontId="21" fillId="0" borderId="0" xfId="0" applyNumberFormat="1" applyFont="1" applyBorder="1" applyAlignment="1">
      <alignment/>
    </xf>
    <xf numFmtId="0" fontId="30" fillId="0" borderId="0" xfId="0" applyFont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4" fillId="0" borderId="18" xfId="0" applyNumberFormat="1" applyFont="1" applyFill="1" applyBorder="1" applyAlignment="1" applyProtection="1">
      <alignment horizontal="center" vertical="center"/>
      <protection locked="0"/>
    </xf>
    <xf numFmtId="184" fontId="1" fillId="0" borderId="40" xfId="0" applyNumberFormat="1" applyFont="1" applyFill="1" applyBorder="1" applyAlignment="1">
      <alignment horizontal="center" vertical="center"/>
    </xf>
    <xf numFmtId="184" fontId="14" fillId="0" borderId="41" xfId="0" applyNumberFormat="1" applyFont="1" applyFill="1" applyBorder="1" applyAlignment="1" applyProtection="1">
      <alignment horizontal="center"/>
      <protection locked="0"/>
    </xf>
    <xf numFmtId="184" fontId="14" fillId="0" borderId="42" xfId="0" applyNumberFormat="1" applyFont="1" applyFill="1" applyBorder="1" applyAlignment="1" applyProtection="1">
      <alignment horizontal="center"/>
      <protection locked="0"/>
    </xf>
    <xf numFmtId="184" fontId="14" fillId="0" borderId="43" xfId="0" applyNumberFormat="1" applyFont="1" applyFill="1" applyBorder="1" applyAlignment="1" applyProtection="1">
      <alignment horizontal="center"/>
      <protection locked="0"/>
    </xf>
    <xf numFmtId="184" fontId="14" fillId="0" borderId="44" xfId="0" applyNumberFormat="1" applyFont="1" applyFill="1" applyBorder="1" applyAlignment="1" applyProtection="1">
      <alignment horizontal="center"/>
      <protection locked="0"/>
    </xf>
    <xf numFmtId="0" fontId="14" fillId="0" borderId="19" xfId="0" applyNumberFormat="1" applyFont="1" applyFill="1" applyBorder="1" applyAlignment="1" applyProtection="1">
      <alignment horizontal="center" vertical="center"/>
      <protection locked="0"/>
    </xf>
    <xf numFmtId="183" fontId="1" fillId="0" borderId="45" xfId="47" applyFont="1" applyFill="1" applyBorder="1" applyAlignment="1">
      <alignment horizontal="center" vertical="center"/>
    </xf>
    <xf numFmtId="184" fontId="1" fillId="0" borderId="27" xfId="0" applyNumberFormat="1" applyFont="1" applyFill="1" applyBorder="1" applyAlignment="1">
      <alignment horizontal="center" vertical="center"/>
    </xf>
    <xf numFmtId="184" fontId="1" fillId="0" borderId="26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 applyProtection="1">
      <alignment horizontal="left"/>
      <protection locked="0"/>
    </xf>
    <xf numFmtId="0" fontId="14" fillId="0" borderId="45" xfId="0" applyNumberFormat="1" applyFont="1" applyFill="1" applyBorder="1" applyAlignment="1" applyProtection="1">
      <alignment horizontal="left"/>
      <protection locked="0"/>
    </xf>
    <xf numFmtId="3" fontId="14" fillId="0" borderId="27" xfId="0" applyNumberFormat="1" applyFont="1" applyFill="1" applyBorder="1" applyAlignment="1" applyProtection="1">
      <alignment horizontal="right"/>
      <protection locked="0"/>
    </xf>
    <xf numFmtId="3" fontId="14" fillId="0" borderId="26" xfId="0" applyNumberFormat="1" applyFont="1" applyFill="1" applyBorder="1" applyAlignment="1" applyProtection="1">
      <alignment horizontal="right"/>
      <protection locked="0"/>
    </xf>
    <xf numFmtId="3" fontId="14" fillId="0" borderId="10" xfId="0" applyNumberFormat="1" applyFont="1" applyFill="1" applyBorder="1" applyAlignment="1" applyProtection="1">
      <alignment horizontal="right"/>
      <protection locked="0"/>
    </xf>
    <xf numFmtId="3" fontId="14" fillId="0" borderId="46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0" borderId="47" xfId="0" applyFont="1" applyFill="1" applyBorder="1" applyAlignment="1">
      <alignment wrapText="1"/>
    </xf>
    <xf numFmtId="0" fontId="19" fillId="0" borderId="1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/>
    </xf>
    <xf numFmtId="167" fontId="0" fillId="0" borderId="16" xfId="0" applyNumberFormat="1" applyFont="1" applyFill="1" applyBorder="1" applyAlignment="1">
      <alignment horizontal="left"/>
    </xf>
    <xf numFmtId="169" fontId="0" fillId="0" borderId="15" xfId="0" applyNumberFormat="1" applyFont="1" applyFill="1" applyBorder="1" applyAlignment="1">
      <alignment horizontal="right" wrapText="1"/>
    </xf>
    <xf numFmtId="10" fontId="0" fillId="0" borderId="15" xfId="0" applyNumberFormat="1" applyFont="1" applyFill="1" applyBorder="1" applyAlignment="1">
      <alignment horizontal="right" vertical="top"/>
    </xf>
    <xf numFmtId="169" fontId="0" fillId="0" borderId="15" xfId="0" applyNumberFormat="1" applyFont="1" applyFill="1" applyBorder="1" applyAlignment="1">
      <alignment horizontal="right" vertical="top"/>
    </xf>
    <xf numFmtId="10" fontId="0" fillId="0" borderId="15" xfId="0" applyNumberFormat="1" applyFont="1" applyFill="1" applyBorder="1" applyAlignment="1">
      <alignment horizontal="right" vertical="top" wrapText="1"/>
    </xf>
    <xf numFmtId="0" fontId="0" fillId="0" borderId="14" xfId="0" applyFont="1" applyFill="1" applyBorder="1" applyAlignment="1">
      <alignment/>
    </xf>
    <xf numFmtId="169" fontId="0" fillId="0" borderId="15" xfId="0" applyNumberFormat="1" applyFont="1" applyFill="1" applyBorder="1" applyAlignment="1">
      <alignment horizontal="right"/>
    </xf>
    <xf numFmtId="169" fontId="0" fillId="0" borderId="14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vertical="top" wrapText="1"/>
    </xf>
    <xf numFmtId="167" fontId="21" fillId="0" borderId="16" xfId="0" applyNumberFormat="1" applyFont="1" applyFill="1" applyBorder="1" applyAlignment="1">
      <alignment horizontal="right" vertical="top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left" vertical="center" wrapText="1"/>
    </xf>
    <xf numFmtId="171" fontId="21" fillId="0" borderId="15" xfId="0" applyNumberFormat="1" applyFont="1" applyFill="1" applyBorder="1" applyAlignment="1">
      <alignment horizontal="center" vertical="center" wrapText="1"/>
    </xf>
    <xf numFmtId="171" fontId="21" fillId="0" borderId="0" xfId="0" applyNumberFormat="1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vertical="top" wrapText="1"/>
    </xf>
    <xf numFmtId="171" fontId="21" fillId="0" borderId="15" xfId="0" applyNumberFormat="1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171" fontId="21" fillId="0" borderId="14" xfId="0" applyNumberFormat="1" applyFont="1" applyFill="1" applyBorder="1" applyAlignment="1">
      <alignment vertical="top" wrapText="1"/>
    </xf>
    <xf numFmtId="0" fontId="21" fillId="0" borderId="15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Alignment="1" applyProtection="1">
      <alignment vertical="top" wrapText="1"/>
      <protection locked="0"/>
    </xf>
    <xf numFmtId="171" fontId="21" fillId="0" borderId="0" xfId="0" applyNumberFormat="1" applyFont="1" applyFill="1" applyAlignment="1" applyProtection="1">
      <alignment vertical="top" wrapText="1"/>
      <protection locked="0"/>
    </xf>
    <xf numFmtId="171" fontId="21" fillId="0" borderId="17" xfId="0" applyNumberFormat="1" applyFont="1" applyFill="1" applyBorder="1" applyAlignment="1" applyProtection="1">
      <alignment vertical="top" wrapText="1"/>
      <protection locked="0"/>
    </xf>
    <xf numFmtId="171" fontId="21" fillId="0" borderId="17" xfId="0" applyNumberFormat="1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center" wrapText="1"/>
    </xf>
    <xf numFmtId="167" fontId="19" fillId="0" borderId="16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wrapText="1"/>
    </xf>
    <xf numFmtId="0" fontId="20" fillId="0" borderId="15" xfId="0" applyFont="1" applyFill="1" applyBorder="1" applyAlignment="1">
      <alignment vertical="top" wrapText="1"/>
    </xf>
    <xf numFmtId="171" fontId="1" fillId="0" borderId="0" xfId="0" applyNumberFormat="1" applyFont="1" applyFill="1" applyAlignment="1">
      <alignment vertical="top" wrapText="1"/>
    </xf>
    <xf numFmtId="0" fontId="19" fillId="0" borderId="15" xfId="0" applyFont="1" applyFill="1" applyBorder="1" applyAlignment="1">
      <alignment vertical="top" wrapText="1"/>
    </xf>
    <xf numFmtId="171" fontId="2" fillId="0" borderId="0" xfId="0" applyNumberFormat="1" applyFont="1" applyFill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171" fontId="1" fillId="0" borderId="17" xfId="0" applyNumberFormat="1" applyFont="1" applyFill="1" applyBorder="1" applyAlignment="1">
      <alignment vertical="top" wrapText="1"/>
    </xf>
    <xf numFmtId="171" fontId="2" fillId="0" borderId="17" xfId="0" applyNumberFormat="1" applyFont="1" applyFill="1" applyBorder="1" applyAlignment="1">
      <alignment vertical="top" wrapText="1"/>
    </xf>
    <xf numFmtId="171" fontId="1" fillId="0" borderId="17" xfId="0" applyNumberFormat="1" applyFont="1" applyFill="1" applyBorder="1" applyAlignment="1">
      <alignment horizontal="right" vertical="top" wrapText="1"/>
    </xf>
    <xf numFmtId="49" fontId="0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171" fontId="18" fillId="33" borderId="0" xfId="0" applyNumberFormat="1" applyFont="1" applyFill="1" applyAlignment="1" applyProtection="1">
      <alignment vertical="top" wrapText="1"/>
      <protection locked="0"/>
    </xf>
    <xf numFmtId="171" fontId="17" fillId="0" borderId="0" xfId="0" applyNumberFormat="1" applyFont="1" applyAlignment="1" applyProtection="1">
      <alignment vertical="top" wrapText="1"/>
      <protection locked="0"/>
    </xf>
    <xf numFmtId="171" fontId="18" fillId="33" borderId="17" xfId="0" applyNumberFormat="1" applyFont="1" applyFill="1" applyBorder="1" applyAlignment="1" applyProtection="1">
      <alignment vertical="top" wrapText="1"/>
      <protection locked="0"/>
    </xf>
    <xf numFmtId="171" fontId="17" fillId="0" borderId="17" xfId="0" applyNumberFormat="1" applyFont="1" applyBorder="1" applyAlignment="1" applyProtection="1">
      <alignment vertical="top" wrapText="1"/>
      <protection locked="0"/>
    </xf>
    <xf numFmtId="171" fontId="18" fillId="33" borderId="17" xfId="0" applyNumberFormat="1" applyFont="1" applyFill="1" applyBorder="1" applyAlignment="1" applyProtection="1">
      <alignment horizontal="right" vertical="top" wrapText="1"/>
      <protection locked="0"/>
    </xf>
    <xf numFmtId="0" fontId="20" fillId="0" borderId="0" xfId="0" applyFont="1" applyAlignment="1">
      <alignment/>
    </xf>
    <xf numFmtId="49" fontId="19" fillId="0" borderId="0" xfId="0" applyNumberFormat="1" applyFont="1" applyAlignment="1">
      <alignment/>
    </xf>
    <xf numFmtId="10" fontId="2" fillId="0" borderId="15" xfId="0" applyNumberFormat="1" applyFont="1" applyFill="1" applyBorder="1" applyAlignment="1">
      <alignment wrapText="1"/>
    </xf>
    <xf numFmtId="171" fontId="2" fillId="0" borderId="15" xfId="0" applyNumberFormat="1" applyFont="1" applyFill="1" applyBorder="1" applyAlignment="1" applyProtection="1">
      <alignment wrapText="1"/>
      <protection locked="0"/>
    </xf>
    <xf numFmtId="171" fontId="2" fillId="0" borderId="14" xfId="0" applyNumberFormat="1" applyFont="1" applyFill="1" applyBorder="1" applyAlignment="1" applyProtection="1">
      <alignment wrapText="1"/>
      <protection locked="0"/>
    </xf>
    <xf numFmtId="10" fontId="2" fillId="0" borderId="14" xfId="0" applyNumberFormat="1" applyFont="1" applyFill="1" applyBorder="1" applyAlignment="1">
      <alignment wrapText="1"/>
    </xf>
    <xf numFmtId="0" fontId="20" fillId="0" borderId="14" xfId="0" applyFont="1" applyFill="1" applyBorder="1" applyAlignment="1">
      <alignment wrapText="1"/>
    </xf>
    <xf numFmtId="171" fontId="2" fillId="0" borderId="14" xfId="0" applyNumberFormat="1" applyFont="1" applyFill="1" applyBorder="1" applyAlignment="1">
      <alignment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48" xfId="0" applyFont="1" applyFill="1" applyBorder="1" applyAlignment="1">
      <alignment horizontal="left" vertical="top" wrapText="1"/>
    </xf>
    <xf numFmtId="0" fontId="19" fillId="0" borderId="34" xfId="0" applyFont="1" applyFill="1" applyBorder="1" applyAlignment="1">
      <alignment horizontal="left" vertical="top" wrapText="1"/>
    </xf>
    <xf numFmtId="0" fontId="19" fillId="0" borderId="25" xfId="0" applyFont="1" applyBorder="1" applyAlignment="1">
      <alignment horizontal="left" wrapText="1"/>
    </xf>
    <xf numFmtId="171" fontId="19" fillId="0" borderId="25" xfId="0" applyNumberFormat="1" applyFont="1" applyBorder="1" applyAlignment="1">
      <alignment horizontal="justify" vertical="top" wrapText="1"/>
    </xf>
    <xf numFmtId="0" fontId="19" fillId="0" borderId="25" xfId="0" applyFont="1" applyBorder="1" applyAlignment="1">
      <alignment horizontal="justify" vertical="top" wrapText="1"/>
    </xf>
    <xf numFmtId="0" fontId="19" fillId="0" borderId="25" xfId="0" applyFont="1" applyFill="1" applyBorder="1" applyAlignment="1">
      <alignment horizontal="left" wrapText="1"/>
    </xf>
    <xf numFmtId="171" fontId="19" fillId="0" borderId="25" xfId="0" applyNumberFormat="1" applyFont="1" applyFill="1" applyBorder="1" applyAlignment="1">
      <alignment horizontal="justify" vertical="top" wrapText="1"/>
    </xf>
    <xf numFmtId="0" fontId="19" fillId="0" borderId="25" xfId="0" applyFont="1" applyFill="1" applyBorder="1" applyAlignment="1">
      <alignment horizontal="justify" vertical="top" wrapText="1"/>
    </xf>
    <xf numFmtId="0" fontId="19" fillId="0" borderId="35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19" fillId="0" borderId="35" xfId="0" applyFont="1" applyFill="1" applyBorder="1" applyAlignment="1">
      <alignment horizontal="left" vertical="top"/>
    </xf>
    <xf numFmtId="0" fontId="19" fillId="0" borderId="20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/>
    </xf>
    <xf numFmtId="0" fontId="19" fillId="0" borderId="48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9" fillId="0" borderId="35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20" fillId="0" borderId="0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171" fontId="20" fillId="0" borderId="15" xfId="0" applyNumberFormat="1" applyFont="1" applyFill="1" applyBorder="1" applyAlignment="1">
      <alignment/>
    </xf>
    <xf numFmtId="171" fontId="20" fillId="0" borderId="15" xfId="0" applyNumberFormat="1" applyFont="1" applyFill="1" applyBorder="1" applyAlignment="1">
      <alignment horizontal="left" vertical="top" wrapText="1"/>
    </xf>
    <xf numFmtId="171" fontId="19" fillId="0" borderId="15" xfId="0" applyNumberFormat="1" applyFont="1" applyFill="1" applyBorder="1" applyAlignment="1">
      <alignment horizontal="left" vertical="top" wrapText="1"/>
    </xf>
    <xf numFmtId="171" fontId="20" fillId="0" borderId="34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71" fontId="19" fillId="0" borderId="14" xfId="0" applyNumberFormat="1" applyFont="1" applyFill="1" applyBorder="1" applyAlignment="1">
      <alignment horizontal="left" vertical="top" wrapText="1"/>
    </xf>
    <xf numFmtId="171" fontId="19" fillId="0" borderId="17" xfId="0" applyNumberFormat="1" applyFont="1" applyFill="1" applyBorder="1" applyAlignment="1">
      <alignment horizontal="left" vertical="top" wrapText="1"/>
    </xf>
    <xf numFmtId="171" fontId="20" fillId="0" borderId="14" xfId="0" applyNumberFormat="1" applyFont="1" applyFill="1" applyBorder="1" applyAlignment="1">
      <alignment horizontal="left" vertical="top" wrapText="1"/>
    </xf>
    <xf numFmtId="171" fontId="19" fillId="0" borderId="14" xfId="0" applyNumberFormat="1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left" wrapText="1"/>
    </xf>
    <xf numFmtId="171" fontId="20" fillId="0" borderId="25" xfId="0" applyNumberFormat="1" applyFont="1" applyFill="1" applyBorder="1" applyAlignment="1">
      <alignment horizontal="justify" vertical="top" wrapText="1"/>
    </xf>
    <xf numFmtId="0" fontId="20" fillId="0" borderId="24" xfId="0" applyFont="1" applyFill="1" applyBorder="1" applyAlignment="1">
      <alignment horizontal="left" wrapText="1"/>
    </xf>
    <xf numFmtId="171" fontId="20" fillId="0" borderId="24" xfId="0" applyNumberFormat="1" applyFont="1" applyFill="1" applyBorder="1" applyAlignment="1">
      <alignment horizontal="justify" vertical="top" wrapText="1"/>
    </xf>
    <xf numFmtId="3" fontId="10" fillId="0" borderId="25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5" xfId="0" applyFont="1" applyFill="1" applyBorder="1" applyAlignment="1">
      <alignment/>
    </xf>
    <xf numFmtId="171" fontId="21" fillId="0" borderId="25" xfId="0" applyNumberFormat="1" applyFont="1" applyFill="1" applyBorder="1" applyAlignment="1" applyProtection="1">
      <alignment/>
      <protection locked="0"/>
    </xf>
    <xf numFmtId="171" fontId="10" fillId="0" borderId="25" xfId="0" applyNumberFormat="1" applyFont="1" applyFill="1" applyBorder="1" applyAlignment="1">
      <alignment/>
    </xf>
    <xf numFmtId="0" fontId="21" fillId="0" borderId="25" xfId="0" applyFont="1" applyFill="1" applyBorder="1" applyAlignment="1">
      <alignment/>
    </xf>
    <xf numFmtId="171" fontId="21" fillId="0" borderId="25" xfId="0" applyNumberFormat="1" applyFont="1" applyFill="1" applyBorder="1" applyAlignment="1">
      <alignment/>
    </xf>
    <xf numFmtId="3" fontId="21" fillId="0" borderId="0" xfId="0" applyNumberFormat="1" applyFont="1" applyBorder="1" applyAlignment="1">
      <alignment/>
    </xf>
    <xf numFmtId="171" fontId="10" fillId="0" borderId="25" xfId="0" applyNumberFormat="1" applyFont="1" applyFill="1" applyBorder="1" applyAlignment="1">
      <alignment horizontal="right"/>
    </xf>
    <xf numFmtId="171" fontId="10" fillId="0" borderId="25" xfId="0" applyNumberFormat="1" applyFont="1" applyFill="1" applyBorder="1" applyAlignment="1" applyProtection="1">
      <alignment horizontal="right"/>
      <protection locked="0"/>
    </xf>
    <xf numFmtId="171" fontId="21" fillId="0" borderId="25" xfId="0" applyNumberFormat="1" applyFont="1" applyBorder="1" applyAlignment="1">
      <alignment/>
    </xf>
    <xf numFmtId="0" fontId="19" fillId="0" borderId="25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wrapText="1"/>
    </xf>
    <xf numFmtId="0" fontId="0" fillId="0" borderId="25" xfId="0" applyFont="1" applyBorder="1" applyAlignment="1">
      <alignment vertical="top" wrapText="1"/>
    </xf>
    <xf numFmtId="0" fontId="19" fillId="0" borderId="25" xfId="0" applyFont="1" applyBorder="1" applyAlignment="1">
      <alignment wrapText="1"/>
    </xf>
    <xf numFmtId="169" fontId="2" fillId="0" borderId="25" xfId="0" applyNumberFormat="1" applyFont="1" applyFill="1" applyBorder="1" applyAlignment="1">
      <alignment wrapText="1"/>
    </xf>
    <xf numFmtId="197" fontId="2" fillId="0" borderId="25" xfId="0" applyNumberFormat="1" applyFont="1" applyFill="1" applyBorder="1" applyAlignment="1">
      <alignment wrapText="1"/>
    </xf>
    <xf numFmtId="0" fontId="9" fillId="0" borderId="25" xfId="0" applyFont="1" applyFill="1" applyBorder="1" applyAlignment="1">
      <alignment horizontal="center"/>
    </xf>
    <xf numFmtId="0" fontId="9" fillId="37" borderId="25" xfId="0" applyFont="1" applyFill="1" applyBorder="1" applyAlignment="1" applyProtection="1">
      <alignment/>
      <protection locked="0"/>
    </xf>
    <xf numFmtId="10" fontId="0" fillId="0" borderId="25" xfId="0" applyNumberFormat="1" applyFont="1" applyFill="1" applyBorder="1" applyAlignment="1" applyProtection="1">
      <alignment horizontal="center"/>
      <protection/>
    </xf>
    <xf numFmtId="0" fontId="9" fillId="37" borderId="25" xfId="0" applyFont="1" applyFill="1" applyBorder="1" applyAlignment="1">
      <alignment/>
    </xf>
    <xf numFmtId="10" fontId="0" fillId="0" borderId="25" xfId="0" applyNumberFormat="1" applyFont="1" applyFill="1" applyBorder="1" applyAlignment="1">
      <alignment/>
    </xf>
    <xf numFmtId="0" fontId="9" fillId="38" borderId="25" xfId="0" applyFont="1" applyFill="1" applyBorder="1" applyAlignment="1">
      <alignment/>
    </xf>
    <xf numFmtId="10" fontId="0" fillId="0" borderId="25" xfId="0" applyNumberFormat="1" applyFont="1" applyFill="1" applyBorder="1" applyAlignment="1" applyProtection="1">
      <alignment/>
      <protection locked="0"/>
    </xf>
    <xf numFmtId="10" fontId="0" fillId="0" borderId="25" xfId="0" applyNumberFormat="1" applyFont="1" applyFill="1" applyBorder="1" applyAlignment="1" applyProtection="1">
      <alignment horizontal="center"/>
      <protection locked="0"/>
    </xf>
    <xf numFmtId="0" fontId="9" fillId="0" borderId="25" xfId="0" applyFont="1" applyBorder="1" applyAlignment="1">
      <alignment/>
    </xf>
    <xf numFmtId="169" fontId="0" fillId="0" borderId="25" xfId="0" applyNumberFormat="1" applyFont="1" applyFill="1" applyBorder="1" applyAlignment="1" applyProtection="1">
      <alignment horizontal="center"/>
      <protection/>
    </xf>
    <xf numFmtId="0" fontId="10" fillId="0" borderId="25" xfId="0" applyFont="1" applyFill="1" applyBorder="1" applyAlignment="1">
      <alignment horizontal="left" vertical="center" wrapText="1"/>
    </xf>
    <xf numFmtId="0" fontId="21" fillId="0" borderId="25" xfId="0" applyFont="1" applyBorder="1" applyAlignment="1">
      <alignment/>
    </xf>
    <xf numFmtId="0" fontId="19" fillId="0" borderId="25" xfId="0" applyFont="1" applyFill="1" applyBorder="1" applyAlignment="1">
      <alignment wrapText="1"/>
    </xf>
    <xf numFmtId="169" fontId="2" fillId="0" borderId="25" xfId="0" applyNumberFormat="1" applyFont="1" applyFill="1" applyBorder="1" applyAlignment="1">
      <alignment horizontal="right" wrapText="1"/>
    </xf>
    <xf numFmtId="169" fontId="2" fillId="0" borderId="25" xfId="0" applyNumberFormat="1" applyFont="1" applyFill="1" applyBorder="1" applyAlignment="1">
      <alignment vertical="top" wrapText="1"/>
    </xf>
    <xf numFmtId="10" fontId="2" fillId="0" borderId="25" xfId="0" applyNumberFormat="1" applyFont="1" applyFill="1" applyBorder="1" applyAlignment="1">
      <alignment vertical="top" wrapText="1"/>
    </xf>
    <xf numFmtId="169" fontId="2" fillId="0" borderId="25" xfId="0" applyNumberFormat="1" applyFont="1" applyFill="1" applyBorder="1" applyAlignment="1" applyProtection="1">
      <alignment wrapText="1"/>
      <protection locked="0"/>
    </xf>
    <xf numFmtId="43" fontId="0" fillId="0" borderId="14" xfId="0" applyNumberFormat="1" applyFont="1" applyFill="1" applyBorder="1" applyAlignment="1">
      <alignment horizontal="left" vertical="top" wrapText="1"/>
    </xf>
    <xf numFmtId="43" fontId="0" fillId="0" borderId="17" xfId="0" applyNumberFormat="1" applyFont="1" applyFill="1" applyBorder="1" applyAlignment="1">
      <alignment horizontal="left" vertical="top" wrapText="1"/>
    </xf>
    <xf numFmtId="43" fontId="19" fillId="0" borderId="14" xfId="0" applyNumberFormat="1" applyFont="1" applyFill="1" applyBorder="1" applyAlignment="1">
      <alignment horizontal="left" vertical="top" wrapText="1"/>
    </xf>
    <xf numFmtId="43" fontId="19" fillId="0" borderId="17" xfId="0" applyNumberFormat="1" applyFont="1" applyFill="1" applyBorder="1" applyAlignment="1">
      <alignment horizontal="left" vertical="top" wrapText="1"/>
    </xf>
    <xf numFmtId="43" fontId="0" fillId="0" borderId="24" xfId="0" applyNumberFormat="1" applyFont="1" applyFill="1" applyBorder="1" applyAlignment="1">
      <alignment horizontal="right" vertical="top" wrapText="1"/>
    </xf>
    <xf numFmtId="43" fontId="0" fillId="0" borderId="22" xfId="0" applyNumberFormat="1" applyFont="1" applyFill="1" applyBorder="1" applyAlignment="1">
      <alignment horizontal="right" vertical="top" wrapText="1"/>
    </xf>
    <xf numFmtId="43" fontId="0" fillId="0" borderId="23" xfId="0" applyNumberFormat="1" applyFont="1" applyFill="1" applyBorder="1" applyAlignment="1">
      <alignment horizontal="right" vertical="top" wrapText="1"/>
    </xf>
    <xf numFmtId="0" fontId="25" fillId="0" borderId="49" xfId="0" applyFont="1" applyBorder="1" applyAlignment="1">
      <alignment/>
    </xf>
    <xf numFmtId="0" fontId="0" fillId="0" borderId="0" xfId="0" applyBorder="1" applyAlignment="1">
      <alignment/>
    </xf>
    <xf numFmtId="0" fontId="0" fillId="0" borderId="50" xfId="0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6" fillId="39" borderId="54" xfId="0" applyFont="1" applyFill="1" applyBorder="1" applyAlignment="1">
      <alignment horizontal="center" vertical="top" wrapText="1"/>
    </xf>
    <xf numFmtId="0" fontId="26" fillId="39" borderId="50" xfId="0" applyFont="1" applyFill="1" applyBorder="1" applyAlignment="1">
      <alignment horizontal="center" vertical="top" wrapText="1"/>
    </xf>
    <xf numFmtId="0" fontId="26" fillId="39" borderId="53" xfId="0" applyFont="1" applyFill="1" applyBorder="1" applyAlignment="1">
      <alignment horizontal="center" vertical="top" wrapText="1"/>
    </xf>
    <xf numFmtId="0" fontId="0" fillId="39" borderId="53" xfId="0" applyFill="1" applyBorder="1" applyAlignment="1">
      <alignment vertical="top" wrapText="1"/>
    </xf>
    <xf numFmtId="0" fontId="26" fillId="39" borderId="50" xfId="0" applyFont="1" applyFill="1" applyBorder="1" applyAlignment="1">
      <alignment vertical="top" wrapText="1"/>
    </xf>
    <xf numFmtId="0" fontId="26" fillId="39" borderId="53" xfId="0" applyFont="1" applyFill="1" applyBorder="1" applyAlignment="1">
      <alignment vertical="top" wrapText="1"/>
    </xf>
    <xf numFmtId="0" fontId="25" fillId="0" borderId="53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0" fillId="0" borderId="53" xfId="0" applyFont="1" applyBorder="1" applyAlignment="1">
      <alignment horizontal="center" wrapText="1"/>
    </xf>
    <xf numFmtId="0" fontId="0" fillId="0" borderId="53" xfId="0" applyFont="1" applyBorder="1" applyAlignment="1">
      <alignment wrapText="1"/>
    </xf>
    <xf numFmtId="171" fontId="0" fillId="0" borderId="53" xfId="0" applyNumberFormat="1" applyFont="1" applyBorder="1" applyAlignment="1">
      <alignment horizontal="center" wrapText="1"/>
    </xf>
    <xf numFmtId="0" fontId="0" fillId="0" borderId="53" xfId="0" applyFont="1" applyBorder="1" applyAlignment="1">
      <alignment horizontal="right" wrapText="1"/>
    </xf>
    <xf numFmtId="171" fontId="0" fillId="0" borderId="53" xfId="0" applyNumberFormat="1" applyFont="1" applyBorder="1" applyAlignment="1">
      <alignment horizontal="right" wrapText="1"/>
    </xf>
    <xf numFmtId="0" fontId="37" fillId="35" borderId="15" xfId="0" applyFont="1" applyFill="1" applyBorder="1" applyAlignment="1">
      <alignment/>
    </xf>
    <xf numFmtId="0" fontId="37" fillId="35" borderId="22" xfId="0" applyFont="1" applyFill="1" applyBorder="1" applyAlignment="1">
      <alignment/>
    </xf>
    <xf numFmtId="38" fontId="38" fillId="0" borderId="0" xfId="0" applyNumberFormat="1" applyFont="1" applyBorder="1" applyAlignment="1" applyProtection="1">
      <alignment horizontal="left"/>
      <protection locked="0"/>
    </xf>
    <xf numFmtId="0" fontId="37" fillId="0" borderId="15" xfId="0" applyFont="1" applyFill="1" applyBorder="1" applyAlignment="1">
      <alignment/>
    </xf>
    <xf numFmtId="171" fontId="37" fillId="0" borderId="25" xfId="0" applyNumberFormat="1" applyFont="1" applyFill="1" applyBorder="1" applyAlignment="1">
      <alignment/>
    </xf>
    <xf numFmtId="0" fontId="37" fillId="0" borderId="22" xfId="0" applyFont="1" applyFill="1" applyBorder="1" applyAlignment="1">
      <alignment/>
    </xf>
    <xf numFmtId="49" fontId="19" fillId="0" borderId="31" xfId="0" applyNumberFormat="1" applyFont="1" applyBorder="1" applyAlignment="1">
      <alignment horizontal="justify" wrapText="1"/>
    </xf>
    <xf numFmtId="0" fontId="0" fillId="0" borderId="32" xfId="0" applyFont="1" applyBorder="1" applyAlignment="1">
      <alignment horizontal="justify" wrapText="1"/>
    </xf>
    <xf numFmtId="0" fontId="0" fillId="0" borderId="33" xfId="0" applyFont="1" applyBorder="1" applyAlignment="1">
      <alignment horizontal="justify" wrapText="1"/>
    </xf>
    <xf numFmtId="0" fontId="19" fillId="0" borderId="55" xfId="0" applyFont="1" applyBorder="1" applyAlignment="1">
      <alignment horizontal="center" vertical="top" wrapText="1"/>
    </xf>
    <xf numFmtId="0" fontId="19" fillId="0" borderId="56" xfId="0" applyFont="1" applyBorder="1" applyAlignment="1">
      <alignment horizontal="center" vertical="top" wrapText="1"/>
    </xf>
    <xf numFmtId="0" fontId="19" fillId="0" borderId="57" xfId="0" applyFont="1" applyBorder="1" applyAlignment="1">
      <alignment horizontal="center" wrapText="1"/>
    </xf>
    <xf numFmtId="0" fontId="19" fillId="0" borderId="58" xfId="0" applyFont="1" applyBorder="1" applyAlignment="1">
      <alignment horizontal="center" vertical="top" wrapText="1"/>
    </xf>
    <xf numFmtId="0" fontId="19" fillId="0" borderId="59" xfId="0" applyFont="1" applyBorder="1" applyAlignment="1">
      <alignment horizontal="center" vertical="top" wrapText="1"/>
    </xf>
    <xf numFmtId="0" fontId="19" fillId="0" borderId="32" xfId="0" applyFont="1" applyBorder="1" applyAlignment="1">
      <alignment horizontal="center" wrapText="1"/>
    </xf>
    <xf numFmtId="0" fontId="19" fillId="0" borderId="60" xfId="0" applyFont="1" applyBorder="1" applyAlignment="1">
      <alignment horizontal="center" vertical="top" wrapText="1"/>
    </xf>
    <xf numFmtId="0" fontId="0" fillId="0" borderId="61" xfId="0" applyFont="1" applyBorder="1" applyAlignment="1">
      <alignment vertical="top" wrapText="1"/>
    </xf>
    <xf numFmtId="0" fontId="19" fillId="0" borderId="61" xfId="0" applyFont="1" applyBorder="1" applyAlignment="1">
      <alignment horizontal="center" vertical="top" wrapText="1"/>
    </xf>
    <xf numFmtId="0" fontId="19" fillId="0" borderId="37" xfId="0" applyFont="1" applyBorder="1" applyAlignment="1">
      <alignment horizontal="center" wrapText="1"/>
    </xf>
    <xf numFmtId="0" fontId="19" fillId="0" borderId="15" xfId="0" applyFont="1" applyBorder="1" applyAlignment="1">
      <alignment wrapText="1"/>
    </xf>
    <xf numFmtId="169" fontId="2" fillId="40" borderId="15" xfId="0" applyNumberFormat="1" applyFont="1" applyFill="1" applyBorder="1" applyAlignment="1">
      <alignment wrapText="1"/>
    </xf>
    <xf numFmtId="197" fontId="2" fillId="40" borderId="15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35" xfId="0" applyFont="1" applyFill="1" applyBorder="1" applyAlignment="1">
      <alignment horizontal="left"/>
    </xf>
    <xf numFmtId="0" fontId="18" fillId="0" borderId="17" xfId="0" applyFont="1" applyBorder="1" applyAlignment="1">
      <alignment horizontal="center" vertical="center" wrapText="1"/>
    </xf>
    <xf numFmtId="10" fontId="0" fillId="0" borderId="25" xfId="0" applyNumberFormat="1" applyFont="1" applyFill="1" applyBorder="1" applyAlignment="1" applyProtection="1">
      <alignment horizontal="right"/>
      <protection locked="0"/>
    </xf>
    <xf numFmtId="169" fontId="0" fillId="0" borderId="25" xfId="0" applyNumberFormat="1" applyFont="1" applyFill="1" applyBorder="1" applyAlignment="1" applyProtection="1">
      <alignment horizontal="center"/>
      <protection locked="0"/>
    </xf>
    <xf numFmtId="4" fontId="0" fillId="41" borderId="25" xfId="0" applyNumberFormat="1" applyFont="1" applyFill="1" applyBorder="1" applyAlignment="1" applyProtection="1">
      <alignment/>
      <protection locked="0"/>
    </xf>
    <xf numFmtId="169" fontId="21" fillId="40" borderId="15" xfId="0" applyNumberFormat="1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38" fontId="18" fillId="0" borderId="31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20" fillId="0" borderId="62" xfId="0" applyFont="1" applyBorder="1" applyAlignment="1">
      <alignment wrapText="1"/>
    </xf>
    <xf numFmtId="0" fontId="0" fillId="0" borderId="48" xfId="0" applyBorder="1" applyAlignment="1">
      <alignment wrapText="1"/>
    </xf>
    <xf numFmtId="0" fontId="0" fillId="0" borderId="34" xfId="0" applyBorder="1" applyAlignment="1">
      <alignment wrapText="1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38" fontId="25" fillId="0" borderId="31" xfId="0" applyNumberFormat="1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19" fillId="0" borderId="25" xfId="0" applyFont="1" applyBorder="1" applyAlignment="1">
      <alignment horizontal="center" vertical="center" wrapText="1"/>
    </xf>
    <xf numFmtId="38" fontId="17" fillId="0" borderId="31" xfId="0" applyNumberFormat="1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20" fillId="0" borderId="35" xfId="0" applyFont="1" applyBorder="1" applyAlignment="1">
      <alignment horizontal="left"/>
    </xf>
    <xf numFmtId="0" fontId="2" fillId="0" borderId="16" xfId="0" applyFont="1" applyBorder="1" applyAlignment="1">
      <alignment wrapText="1"/>
    </xf>
    <xf numFmtId="167" fontId="19" fillId="0" borderId="16" xfId="0" applyNumberFormat="1" applyFont="1" applyBorder="1" applyAlignment="1">
      <alignment horizontal="right" wrapText="1"/>
    </xf>
    <xf numFmtId="0" fontId="19" fillId="0" borderId="16" xfId="0" applyFont="1" applyBorder="1" applyAlignment="1">
      <alignment horizontal="right" wrapText="1"/>
    </xf>
    <xf numFmtId="38" fontId="19" fillId="0" borderId="31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18" fillId="0" borderId="35" xfId="0" applyFont="1" applyBorder="1" applyAlignment="1">
      <alignment horizontal="left"/>
    </xf>
    <xf numFmtId="0" fontId="19" fillId="0" borderId="2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38" fontId="19" fillId="0" borderId="31" xfId="0" applyNumberFormat="1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167" fontId="19" fillId="0" borderId="16" xfId="0" applyNumberFormat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right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justify"/>
    </xf>
    <xf numFmtId="0" fontId="0" fillId="0" borderId="38" xfId="0" applyFill="1" applyBorder="1" applyAlignment="1">
      <alignment/>
    </xf>
    <xf numFmtId="0" fontId="17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/>
    </xf>
    <xf numFmtId="38" fontId="0" fillId="0" borderId="31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left"/>
    </xf>
    <xf numFmtId="0" fontId="20" fillId="0" borderId="35" xfId="0" applyFont="1" applyFill="1" applyBorder="1" applyAlignment="1">
      <alignment wrapText="1"/>
    </xf>
    <xf numFmtId="0" fontId="0" fillId="0" borderId="35" xfId="0" applyBorder="1" applyAlignment="1">
      <alignment wrapText="1"/>
    </xf>
    <xf numFmtId="0" fontId="20" fillId="0" borderId="48" xfId="0" applyFont="1" applyFill="1" applyBorder="1" applyAlignment="1">
      <alignment horizontal="center" wrapText="1"/>
    </xf>
    <xf numFmtId="0" fontId="19" fillId="0" borderId="35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8" xfId="0" applyFont="1" applyFill="1" applyBorder="1" applyAlignment="1">
      <alignment wrapText="1"/>
    </xf>
    <xf numFmtId="0" fontId="17" fillId="0" borderId="36" xfId="0" applyFont="1" applyFill="1" applyBorder="1" applyAlignment="1">
      <alignment wrapText="1"/>
    </xf>
    <xf numFmtId="0" fontId="0" fillId="0" borderId="38" xfId="0" applyFill="1" applyBorder="1" applyAlignment="1">
      <alignment wrapText="1"/>
    </xf>
    <xf numFmtId="38" fontId="21" fillId="0" borderId="31" xfId="0" applyNumberFormat="1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21" fillId="0" borderId="48" xfId="0" applyFont="1" applyFill="1" applyBorder="1" applyAlignment="1">
      <alignment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left" vertical="top" wrapText="1"/>
    </xf>
    <xf numFmtId="0" fontId="19" fillId="0" borderId="38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3" fillId="0" borderId="15" xfId="0" applyFont="1" applyFill="1" applyBorder="1" applyAlignment="1">
      <alignment/>
    </xf>
    <xf numFmtId="0" fontId="33" fillId="0" borderId="17" xfId="0" applyFont="1" applyFill="1" applyBorder="1" applyAlignment="1">
      <alignment/>
    </xf>
    <xf numFmtId="0" fontId="33" fillId="0" borderId="14" xfId="0" applyFont="1" applyFill="1" applyBorder="1" applyAlignment="1">
      <alignment/>
    </xf>
    <xf numFmtId="0" fontId="19" fillId="0" borderId="48" xfId="0" applyFont="1" applyFill="1" applyBorder="1" applyAlignment="1">
      <alignment horizontal="left" vertical="top" wrapText="1"/>
    </xf>
    <xf numFmtId="0" fontId="19" fillId="0" borderId="34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32" fillId="0" borderId="35" xfId="0" applyFont="1" applyFill="1" applyBorder="1" applyAlignment="1">
      <alignment horizontal="center" vertical="top" wrapText="1"/>
    </xf>
    <xf numFmtId="0" fontId="33" fillId="0" borderId="35" xfId="0" applyFont="1" applyBorder="1" applyAlignment="1">
      <alignment horizontal="center" vertical="top"/>
    </xf>
    <xf numFmtId="0" fontId="33" fillId="0" borderId="20" xfId="0" applyFont="1" applyBorder="1" applyAlignment="1">
      <alignment horizontal="center" vertical="top"/>
    </xf>
    <xf numFmtId="0" fontId="33" fillId="0" borderId="17" xfId="0" applyFont="1" applyBorder="1" applyAlignment="1">
      <alignment horizontal="center" vertical="top"/>
    </xf>
    <xf numFmtId="0" fontId="33" fillId="0" borderId="14" xfId="0" applyFont="1" applyBorder="1" applyAlignment="1">
      <alignment horizontal="center" vertical="top"/>
    </xf>
    <xf numFmtId="0" fontId="19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19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38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20" fillId="0" borderId="48" xfId="0" applyFont="1" applyFill="1" applyBorder="1" applyAlignment="1">
      <alignment horizontal="left" vertical="top" wrapText="1"/>
    </xf>
    <xf numFmtId="0" fontId="20" fillId="0" borderId="34" xfId="0" applyFont="1" applyFill="1" applyBorder="1" applyAlignment="1">
      <alignment horizontal="left" vertical="top" wrapText="1"/>
    </xf>
    <xf numFmtId="0" fontId="32" fillId="0" borderId="35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/>
    </xf>
    <xf numFmtId="0" fontId="33" fillId="0" borderId="20" xfId="0" applyFont="1" applyFill="1" applyBorder="1" applyAlignment="1">
      <alignment/>
    </xf>
    <xf numFmtId="0" fontId="32" fillId="0" borderId="48" xfId="0" applyFont="1" applyFill="1" applyBorder="1" applyAlignment="1">
      <alignment horizontal="left" vertical="center" wrapText="1"/>
    </xf>
    <xf numFmtId="0" fontId="32" fillId="0" borderId="34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43" fontId="0" fillId="0" borderId="18" xfId="0" applyNumberFormat="1" applyFont="1" applyFill="1" applyBorder="1" applyAlignment="1">
      <alignment horizontal="center" vertical="center" wrapText="1"/>
    </xf>
    <xf numFmtId="43" fontId="0" fillId="0" borderId="20" xfId="0" applyNumberFormat="1" applyBorder="1" applyAlignment="1">
      <alignment horizontal="center" vertical="center" wrapText="1"/>
    </xf>
    <xf numFmtId="43" fontId="0" fillId="0" borderId="18" xfId="0" applyNumberFormat="1" applyFont="1" applyFill="1" applyBorder="1" applyAlignment="1">
      <alignment horizontal="right" vertical="top" wrapText="1"/>
    </xf>
    <xf numFmtId="43" fontId="0" fillId="0" borderId="20" xfId="0" applyNumberFormat="1" applyBorder="1" applyAlignment="1">
      <alignment horizontal="right" vertical="top" wrapText="1"/>
    </xf>
    <xf numFmtId="43" fontId="0" fillId="0" borderId="19" xfId="0" applyNumberFormat="1" applyBorder="1" applyAlignment="1">
      <alignment horizontal="center" vertical="center" wrapText="1"/>
    </xf>
    <xf numFmtId="43" fontId="0" fillId="0" borderId="15" xfId="0" applyNumberFormat="1" applyBorder="1" applyAlignment="1">
      <alignment horizontal="center" vertical="center" wrapText="1"/>
    </xf>
    <xf numFmtId="43" fontId="0" fillId="0" borderId="19" xfId="0" applyNumberFormat="1" applyFont="1" applyFill="1" applyBorder="1" applyAlignment="1">
      <alignment horizontal="right" vertical="top" wrapText="1"/>
    </xf>
    <xf numFmtId="43" fontId="0" fillId="0" borderId="15" xfId="0" applyNumberFormat="1" applyBorder="1" applyAlignment="1">
      <alignment horizontal="right" vertical="top" wrapText="1"/>
    </xf>
    <xf numFmtId="43" fontId="0" fillId="0" borderId="21" xfId="0" applyNumberFormat="1" applyBorder="1" applyAlignment="1">
      <alignment horizontal="center" vertical="center" wrapText="1"/>
    </xf>
    <xf numFmtId="43" fontId="0" fillId="0" borderId="14" xfId="0" applyNumberFormat="1" applyBorder="1" applyAlignment="1">
      <alignment horizontal="center" vertical="center" wrapText="1"/>
    </xf>
    <xf numFmtId="43" fontId="0" fillId="0" borderId="21" xfId="0" applyNumberFormat="1" applyFont="1" applyFill="1" applyBorder="1" applyAlignment="1">
      <alignment horizontal="right" vertical="top" wrapText="1"/>
    </xf>
    <xf numFmtId="43" fontId="0" fillId="0" borderId="14" xfId="0" applyNumberFormat="1" applyBorder="1" applyAlignment="1">
      <alignment horizontal="right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48" xfId="0" applyFont="1" applyFill="1" applyBorder="1" applyAlignment="1">
      <alignment wrapText="1"/>
    </xf>
    <xf numFmtId="0" fontId="0" fillId="0" borderId="34" xfId="0" applyFont="1" applyFill="1" applyBorder="1" applyAlignment="1">
      <alignment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left"/>
    </xf>
    <xf numFmtId="0" fontId="19" fillId="0" borderId="35" xfId="0" applyFont="1" applyFill="1" applyBorder="1" applyAlignment="1">
      <alignment horizontal="left"/>
    </xf>
    <xf numFmtId="0" fontId="17" fillId="0" borderId="35" xfId="0" applyFont="1" applyBorder="1" applyAlignment="1">
      <alignment horizontal="left"/>
    </xf>
    <xf numFmtId="38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justify" wrapText="1"/>
    </xf>
    <xf numFmtId="0" fontId="19" fillId="0" borderId="0" xfId="0" applyFont="1" applyBorder="1" applyAlignment="1">
      <alignment horizontal="justify" wrapText="1"/>
    </xf>
    <xf numFmtId="167" fontId="19" fillId="0" borderId="0" xfId="0" applyNumberFormat="1" applyFont="1" applyBorder="1" applyAlignment="1">
      <alignment horizontal="right" wrapText="1"/>
    </xf>
    <xf numFmtId="0" fontId="20" fillId="0" borderId="23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19" fillId="0" borderId="48" xfId="0" applyFont="1" applyFill="1" applyBorder="1" applyAlignment="1">
      <alignment horizontal="center" wrapText="1"/>
    </xf>
    <xf numFmtId="0" fontId="19" fillId="0" borderId="34" xfId="0" applyFont="1" applyFill="1" applyBorder="1" applyAlignment="1">
      <alignment horizontal="center" wrapText="1"/>
    </xf>
    <xf numFmtId="0" fontId="19" fillId="0" borderId="25" xfId="0" applyFont="1" applyFill="1" applyBorder="1" applyAlignment="1">
      <alignment horizontal="center" wrapText="1"/>
    </xf>
    <xf numFmtId="0" fontId="26" fillId="0" borderId="66" xfId="0" applyFont="1" applyBorder="1" applyAlignment="1">
      <alignment horizontal="center"/>
    </xf>
    <xf numFmtId="0" fontId="0" fillId="0" borderId="67" xfId="0" applyBorder="1" applyAlignment="1">
      <alignment/>
    </xf>
    <xf numFmtId="0" fontId="0" fillId="0" borderId="54" xfId="0" applyBorder="1" applyAlignment="1">
      <alignment/>
    </xf>
    <xf numFmtId="0" fontId="26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26" fillId="0" borderId="49" xfId="0" applyFont="1" applyBorder="1" applyAlignment="1">
      <alignment/>
    </xf>
    <xf numFmtId="0" fontId="9" fillId="0" borderId="0" xfId="0" applyFont="1" applyBorder="1" applyAlignment="1">
      <alignment/>
    </xf>
    <xf numFmtId="0" fontId="26" fillId="39" borderId="68" xfId="0" applyFont="1" applyFill="1" applyBorder="1" applyAlignment="1">
      <alignment horizontal="center" vertical="top" wrapText="1"/>
    </xf>
    <xf numFmtId="0" fontId="26" fillId="39" borderId="69" xfId="0" applyFont="1" applyFill="1" applyBorder="1" applyAlignment="1">
      <alignment horizontal="center" vertical="top" wrapText="1"/>
    </xf>
    <xf numFmtId="0" fontId="26" fillId="39" borderId="70" xfId="0" applyFont="1" applyFill="1" applyBorder="1" applyAlignment="1">
      <alignment horizontal="center" vertical="top" wrapText="1"/>
    </xf>
    <xf numFmtId="0" fontId="26" fillId="39" borderId="68" xfId="0" applyFont="1" applyFill="1" applyBorder="1" applyAlignment="1">
      <alignment vertical="top" wrapText="1"/>
    </xf>
    <xf numFmtId="0" fontId="26" fillId="39" borderId="69" xfId="0" applyFont="1" applyFill="1" applyBorder="1" applyAlignment="1">
      <alignment vertical="top" wrapText="1"/>
    </xf>
    <xf numFmtId="0" fontId="26" fillId="39" borderId="70" xfId="0" applyFont="1" applyFill="1" applyBorder="1" applyAlignment="1">
      <alignment vertical="top" wrapText="1"/>
    </xf>
    <xf numFmtId="0" fontId="25" fillId="0" borderId="68" xfId="0" applyFont="1" applyBorder="1" applyAlignment="1">
      <alignment horizontal="center" vertical="top" wrapText="1"/>
    </xf>
    <xf numFmtId="0" fontId="25" fillId="0" borderId="70" xfId="0" applyFont="1" applyBorder="1" applyAlignment="1">
      <alignment horizontal="center" vertical="top" wrapText="1"/>
    </xf>
    <xf numFmtId="0" fontId="26" fillId="39" borderId="71" xfId="0" applyFont="1" applyFill="1" applyBorder="1" applyAlignment="1">
      <alignment horizontal="center" vertical="top" wrapText="1"/>
    </xf>
    <xf numFmtId="0" fontId="26" fillId="39" borderId="72" xfId="0" applyFont="1" applyFill="1" applyBorder="1" applyAlignment="1">
      <alignment horizontal="center" vertical="top" wrapText="1"/>
    </xf>
    <xf numFmtId="0" fontId="26" fillId="39" borderId="73" xfId="0" applyFont="1" applyFill="1" applyBorder="1" applyAlignment="1">
      <alignment horizontal="center" vertical="top" wrapText="1"/>
    </xf>
    <xf numFmtId="0" fontId="9" fillId="0" borderId="68" xfId="0" applyFont="1" applyBorder="1" applyAlignment="1">
      <alignment horizontal="center" wrapText="1"/>
    </xf>
    <xf numFmtId="0" fontId="9" fillId="0" borderId="70" xfId="0" applyFont="1" applyBorder="1" applyAlignment="1">
      <alignment horizontal="center" wrapText="1"/>
    </xf>
    <xf numFmtId="0" fontId="9" fillId="0" borderId="66" xfId="0" applyFont="1" applyBorder="1" applyAlignment="1">
      <alignment wrapText="1"/>
    </xf>
    <xf numFmtId="0" fontId="0" fillId="0" borderId="67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9" fillId="0" borderId="66" xfId="0" applyFont="1" applyBorder="1" applyAlignment="1">
      <alignment horizontal="center" wrapText="1"/>
    </xf>
    <xf numFmtId="0" fontId="9" fillId="0" borderId="67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9" fillId="0" borderId="51" xfId="0" applyFont="1" applyBorder="1" applyAlignment="1">
      <alignment horizontal="center" wrapText="1"/>
    </xf>
    <xf numFmtId="0" fontId="9" fillId="0" borderId="52" xfId="0" applyFont="1" applyBorder="1" applyAlignment="1">
      <alignment horizontal="center" wrapText="1"/>
    </xf>
    <xf numFmtId="0" fontId="9" fillId="0" borderId="53" xfId="0" applyFont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72" xfId="0" applyFont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0" fontId="0" fillId="0" borderId="71" xfId="0" applyFont="1" applyBorder="1" applyAlignment="1">
      <alignment wrapText="1"/>
    </xf>
    <xf numFmtId="0" fontId="0" fillId="0" borderId="73" xfId="0" applyFont="1" applyBorder="1" applyAlignment="1">
      <alignment wrapText="1"/>
    </xf>
    <xf numFmtId="171" fontId="0" fillId="0" borderId="71" xfId="0" applyNumberFormat="1" applyFont="1" applyBorder="1" applyAlignment="1">
      <alignment horizontal="center" wrapText="1"/>
    </xf>
    <xf numFmtId="171" fontId="0" fillId="0" borderId="72" xfId="0" applyNumberFormat="1" applyFont="1" applyBorder="1" applyAlignment="1">
      <alignment horizontal="center" wrapText="1"/>
    </xf>
    <xf numFmtId="171" fontId="0" fillId="0" borderId="73" xfId="0" applyNumberFormat="1" applyFont="1" applyBorder="1" applyAlignment="1">
      <alignment horizontal="center" wrapText="1"/>
    </xf>
    <xf numFmtId="171" fontId="0" fillId="0" borderId="71" xfId="0" applyNumberFormat="1" applyFont="1" applyBorder="1" applyAlignment="1">
      <alignment horizontal="right" wrapText="1"/>
    </xf>
    <xf numFmtId="171" fontId="0" fillId="0" borderId="72" xfId="0" applyNumberFormat="1" applyFont="1" applyBorder="1" applyAlignment="1">
      <alignment horizontal="right" wrapText="1"/>
    </xf>
    <xf numFmtId="171" fontId="0" fillId="0" borderId="73" xfId="0" applyNumberFormat="1" applyFont="1" applyBorder="1" applyAlignment="1">
      <alignment horizontal="right" wrapText="1"/>
    </xf>
    <xf numFmtId="0" fontId="9" fillId="0" borderId="71" xfId="0" applyFont="1" applyBorder="1" applyAlignment="1">
      <alignment horizontal="center" wrapText="1"/>
    </xf>
    <xf numFmtId="0" fontId="9" fillId="0" borderId="72" xfId="0" applyFont="1" applyBorder="1" applyAlignment="1">
      <alignment horizontal="center" wrapText="1"/>
    </xf>
    <xf numFmtId="0" fontId="9" fillId="0" borderId="73" xfId="0" applyFont="1" applyBorder="1" applyAlignment="1">
      <alignment horizontal="center" wrapText="1"/>
    </xf>
    <xf numFmtId="197" fontId="19" fillId="40" borderId="15" xfId="0" applyNumberFormat="1" applyFont="1" applyFill="1" applyBorder="1" applyAlignment="1">
      <alignment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23</xdr:row>
      <xdr:rowOff>0</xdr:rowOff>
    </xdr:from>
    <xdr:to>
      <xdr:col>6</xdr:col>
      <xdr:colOff>485775</xdr:colOff>
      <xdr:row>39</xdr:row>
      <xdr:rowOff>19050</xdr:rowOff>
    </xdr:to>
    <xdr:sp>
      <xdr:nvSpPr>
        <xdr:cNvPr id="1" name="Rectangle 6"/>
        <xdr:cNvSpPr>
          <a:spLocks/>
        </xdr:cNvSpPr>
      </xdr:nvSpPr>
      <xdr:spPr>
        <a:xfrm>
          <a:off x="342900" y="4362450"/>
          <a:ext cx="8467725" cy="2457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Dívida Pública Consolidada – É o montante total apurado: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obrigações financeiras do Município, inclusive as decorrentes de emissão de títulos, assumidas em virtude de leis, contratos, convênios ou tratados;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das obrigações financeiras doMunicípio, assumidas em virtude da realização de operações de crédito para amortização em prazo superior a doze meses ou que, embora de prazo inferior a doze meses, tenham constado como receitas no orçamento;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dos precatórios judiciais emitidos a partir de 5 de maio de 2000 e não pagos durante a execução do orçamento em que houverem sido incluídos.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Dívida Consolidada Líquida – DCL –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Corresponde à dívida pública consolidada menos as deduções, que compreendem o ativo disponível e os haveres financeiros, líquidos dos Restos a Pagar Processados.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Resultado Nominal –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Representa a diferença entre o saldo da dívida fiscal líquida em 31 de dezembro de determinado ano em relação ao apurado em 31 de dezembro do ano anterior.
</a:t>
          </a:r>
        </a:p>
      </xdr:txBody>
    </xdr:sp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76</xdr:row>
      <xdr:rowOff>123825</xdr:rowOff>
    </xdr:from>
    <xdr:to>
      <xdr:col>7</xdr:col>
      <xdr:colOff>95250</xdr:colOff>
      <xdr:row>92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80975" y="10982325"/>
          <a:ext cx="666750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demonstrativo, visa a atender o estabelecido no art. 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inciso IV, alínea “a”, da Lei de Responsabilidade Fiscal – LRF, o qual determina que o Anexo de Metas Fiscais conterá a avaliação da situação financeira e atuarial do Regime Próprio de Previdência dos Servidores – RPPS.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dados acima apresentados tem como base o Anexo V – Demonstrativo das Receitas e Despesas Previdenciárias do Regime Próprio de Previdência dos Servidores, publicado no Relatório Resumido de Execução Orçamentária – RREO do último bimestre dos exercícios financeiros de 2014, 2015 e 2016, respectivamente.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Já os resultados da avaliação atuarial foram apresentados conforme o Anexo XIII – Demonstrativo da Projeção Atuarial do Regime Próprio dos Servidores, publicado no RREO do último bimestre dos exercícios de 2016.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valores informados na linha 'Bens e Direitos do RPPS", correspondem ao saldo das suas disponibilidades financeiras e investimentos, a foram obtidos a partir do Demonstrativo da Disponibilidade de Caixa, publicado no Relatório de Gestão Fiscal – RGF.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5</xdr:col>
      <xdr:colOff>742950</xdr:colOff>
      <xdr:row>43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42875" y="5105400"/>
          <a:ext cx="5791200" cy="2705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Esse demonstrativo tem por objetivo mensurar os tributos que serão objeto de renúncia fiscal de receita, identificando seus valores nos exercícios que compreenderão o triênio a partir da vigência da LDO e estabelecendo ainda as medidas de compensação que serão adotadas, visando a dar cumprimento ao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2º, inciso V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Conforme os arts. 13, 54 e 55 do Projeto de Lei das Diretrizes Orçamentárias, a estimativa de renúncia de receita deverá estar inserida na metodologia de cálculo da projeção da arrecadação efetiva dos tributos municipais.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Dessa forma, fica observado o atendimento do disposto no art. 14, I, da LRF, o qual determina que a renúncia deve ser considerada na estimativa de receita da lei orçamentária e de que não afetará as metas de resultados fiscais.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Consequentemente, as renúncias contempladas nesse demonstrativo não precisarão ser compensadas, pojs a compensação já estará ocorrendo no âmbito do processo orçamentário de estimativa das respectivas receitas.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</xdr:row>
      <xdr:rowOff>85725</xdr:rowOff>
    </xdr:from>
    <xdr:to>
      <xdr:col>1</xdr:col>
      <xdr:colOff>2847975</xdr:colOff>
      <xdr:row>47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23825" y="4810125"/>
          <a:ext cx="5819775" cy="3514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 Demonstração da margem de expansão das despesas obrigatórias de caráter continuado visa a assegurar que não haverá criação de nova despesa sem a correspondente fonte de financiamento.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 outras palavras, o demonstrativo identifica o aumento permanente de receita para suportar o aumento permanente da despesa de caráter continuado, assim entendida aquela derivada de lei, contrato, ou ato normativo que fixe a obrigatoriedade de execução por um período superior a dois exercícios, cumprindo, dessa forma, a disposição contida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2º, inciso V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Desse modo, para estimar o aumento permanente das receitas em 2018 considerou-se o incremento real, ou seja, a diferença entre os valores estimados a preços constantes das receitas  trbutárias e de transferências correntes, no biênio 2017-2018.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 mesma linha, o aumento permandente das despesas de caráter obrigatório que terão impacto em 2017, foi calculado pela diferença a valores constantes, observada no biênio 2017-2018 nos grupos de natureza de despesa "Pessoal" e "Outras Despesas Correntes", chegando-se, assim, ao saldo da margem líquida de expansão.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Caso necessário, a  Margem Líquida de Expansão acima demonstrada, será utilizada, pelo Poder Executivo, como forma de compensação do aumento das despesas obrigatórias de caráter continuado não previstas no orçamento, observado o disposto no art. 17 da LDO.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21</xdr:row>
      <xdr:rowOff>142875</xdr:rowOff>
    </xdr:from>
    <xdr:to>
      <xdr:col>1</xdr:col>
      <xdr:colOff>2657475</xdr:colOff>
      <xdr:row>26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352425" y="3324225"/>
          <a:ext cx="50387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Declaramos para os devidos fins, que a expansão das despesas obrigatórias de caráter continuado, no exercício financeiro de 2017, adequar-se-ão às receitas do Município.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26</xdr:row>
      <xdr:rowOff>133350</xdr:rowOff>
    </xdr:from>
    <xdr:to>
      <xdr:col>3</xdr:col>
      <xdr:colOff>857250</xdr:colOff>
      <xdr:row>32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161925" y="4343400"/>
          <a:ext cx="6791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O Anexo de Riscos fiscais tem por objetivo especificar eventuais riscos que possam impactar negativamente nas contas públicas, indicando de forma preventiva as providências a serem tomadas caso as situaçãoes acima descritas venham a ocorrer, cumprindo desta forma 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3º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21</xdr:row>
      <xdr:rowOff>76200</xdr:rowOff>
    </xdr:from>
    <xdr:to>
      <xdr:col>6</xdr:col>
      <xdr:colOff>933450</xdr:colOff>
      <xdr:row>24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161925" y="2771775"/>
          <a:ext cx="94678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parâmetros acima foram utilizados para as projeções de receitas e despesas, bem como para os cálculos em valores correntes e constantes, de acordo com sua pertinência, ou não com as fontes de receitas e/ou grupo de natureza de despesa, conforme especificações das tabelas a seguir:</a:t>
          </a:r>
        </a:p>
      </xdr:txBody>
    </xdr:sp>
    <xdr:clientData/>
  </xdr:twoCellAnchor>
  <xdr:twoCellAnchor>
    <xdr:from>
      <xdr:col>0</xdr:col>
      <xdr:colOff>1752600</xdr:colOff>
      <xdr:row>24</xdr:row>
      <xdr:rowOff>123825</xdr:rowOff>
    </xdr:from>
    <xdr:to>
      <xdr:col>5</xdr:col>
      <xdr:colOff>952500</xdr:colOff>
      <xdr:row>43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3276600"/>
          <a:ext cx="683895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1695450</xdr:colOff>
      <xdr:row>44</xdr:row>
      <xdr:rowOff>0</xdr:rowOff>
    </xdr:from>
    <xdr:to>
      <xdr:col>6</xdr:col>
      <xdr:colOff>381000</xdr:colOff>
      <xdr:row>58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95450" y="6791325"/>
          <a:ext cx="73818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1971675</xdr:colOff>
      <xdr:row>42</xdr:row>
      <xdr:rowOff>142875</xdr:rowOff>
    </xdr:from>
    <xdr:to>
      <xdr:col>6</xdr:col>
      <xdr:colOff>314325</xdr:colOff>
      <xdr:row>42</xdr:row>
      <xdr:rowOff>142875</xdr:rowOff>
    </xdr:to>
    <xdr:sp>
      <xdr:nvSpPr>
        <xdr:cNvPr id="4" name="Line 6"/>
        <xdr:cNvSpPr>
          <a:spLocks/>
        </xdr:cNvSpPr>
      </xdr:nvSpPr>
      <xdr:spPr>
        <a:xfrm>
          <a:off x="1971675" y="6629400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44</xdr:row>
      <xdr:rowOff>19050</xdr:rowOff>
    </xdr:from>
    <xdr:to>
      <xdr:col>6</xdr:col>
      <xdr:colOff>381000</xdr:colOff>
      <xdr:row>57</xdr:row>
      <xdr:rowOff>85725</xdr:rowOff>
    </xdr:to>
    <xdr:sp>
      <xdr:nvSpPr>
        <xdr:cNvPr id="5" name="Line 8"/>
        <xdr:cNvSpPr>
          <a:spLocks/>
        </xdr:cNvSpPr>
      </xdr:nvSpPr>
      <xdr:spPr>
        <a:xfrm flipH="1">
          <a:off x="9067800" y="6810375"/>
          <a:ext cx="9525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23</xdr:row>
      <xdr:rowOff>152400</xdr:rowOff>
    </xdr:from>
    <xdr:to>
      <xdr:col>9</xdr:col>
      <xdr:colOff>409575</xdr:colOff>
      <xdr:row>89</xdr:row>
      <xdr:rowOff>9525</xdr:rowOff>
    </xdr:to>
    <xdr:sp>
      <xdr:nvSpPr>
        <xdr:cNvPr id="1" name="Rectangle 3"/>
        <xdr:cNvSpPr>
          <a:spLocks/>
        </xdr:cNvSpPr>
      </xdr:nvSpPr>
      <xdr:spPr>
        <a:xfrm>
          <a:off x="200025" y="4505325"/>
          <a:ext cx="9486900" cy="10572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 Demonstrativo de Metas Anuais objetiva estabelecer as metas para o triênio compreendendo o ano de vigência da LDO e os dois subsequentes, abrangendo a Receita e Despesa Total, Receitas Não Financeiras, Despesas Não Financeiras, Resultado Primário, Resultado Nominal e Dívida Pública, visando atender a disposição contida no art. 4º,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100" b="0" i="0" u="none" baseline="0">
              <a:solidFill>
                <a:srgbClr val="000000"/>
              </a:solidFill>
            </a:rPr>
            <a:t> 1º da LRF.
</a:t>
          </a:r>
          <a:r>
            <a:rPr lang="en-US" cap="none" sz="1100" b="0" i="0" u="none" baseline="0">
              <a:solidFill>
                <a:srgbClr val="000000"/>
              </a:solidFill>
            </a:rPr>
            <a:t>Para melhor entendimento, cabem aqui os seguintes conceitos:
</a:t>
          </a:r>
          <a:r>
            <a:rPr lang="en-US" cap="none" sz="1100" b="0" i="0" u="none" baseline="0">
              <a:solidFill>
                <a:srgbClr val="000000"/>
              </a:solidFill>
            </a:rPr>
            <a:t>1 – as receitas primárias correspondem às receitas fiscais líquidas, resultantes do somatório das receitas correntes e de capital, excluídas as receitas de aplicações financeiras (juros de títulos de renda, remuneração de depósitos e outras receitas de valores mobiliários), operações de crédito, amortização de empréstimos e alienação de ativos;
</a:t>
          </a:r>
          <a:r>
            <a:rPr lang="en-US" cap="none" sz="1100" b="0" i="0" u="none" baseline="0">
              <a:solidFill>
                <a:srgbClr val="000000"/>
              </a:solidFill>
            </a:rPr>
            <a:t>2 – as despesas primárias correspondem ao total da despesa orçamentária deduzidas as despesas com juros e amortização da dívida, aquisição de títulos de capital integralizado e as despesas com concessão de empréstimos com retorno garantido. 
</a:t>
          </a:r>
          <a:r>
            <a:rPr lang="en-US" cap="none" sz="1100" b="0" i="0" u="none" baseline="0">
              <a:solidFill>
                <a:srgbClr val="000000"/>
              </a:solidFill>
            </a:rPr>
            <a:t>3 – o resultado primário corresponde à diferença entre as receitas primárias e despesas primárias evidenciando o esforço fiscal do Município;
</a:t>
          </a:r>
          <a:r>
            <a:rPr lang="en-US" cap="none" sz="1100" b="0" i="0" u="none" baseline="0">
              <a:solidFill>
                <a:srgbClr val="000000"/>
              </a:solidFill>
            </a:rPr>
            <a:t>4 – o resultado nominal representa a diferença entre o saldo previsto da dívida fiscal líquida em 31 de dezembro de determinado ano em relação ao apurado em 31 de dezembro do ano anterior;
</a:t>
          </a:r>
          <a:r>
            <a:rPr lang="en-US" cap="none" sz="1100" b="0" i="0" u="none" baseline="0">
              <a:solidFill>
                <a:srgbClr val="000000"/>
              </a:solidFill>
            </a:rPr>
            <a:t>5 – a dívida pública consolidada é o montante apurado das obrigações financeiras do ente da Federação, inclusive as decorrentes de emissão de títulos, assumidas em virtude de leis, contratos, convênios ou tratados; as assumidas em virtude da realização de operações de crédito para amortização em prazo superior a doze meses ou que, embora de prazo inferior a doze meses, tenham constado como receitas no orçamento; dos precatórios judiciais emitidos a partir de 5 de maio de 2000 e não pagos durante a execução do orçamento em que houverem sido incluídos;
</a:t>
          </a:r>
          <a:r>
            <a:rPr lang="en-US" cap="none" sz="1100" b="0" i="0" u="none" baseline="0">
              <a:solidFill>
                <a:srgbClr val="000000"/>
              </a:solidFill>
            </a:rPr>
            <a:t>6 – a dívida Consolidada Líquida – DCL - corresponde à dívida pública consolidada, deduzidos os valores que compreendem o ativo disponível e os haveres financeiros, líquidos dos Restos a Pagar Processados.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</a:rPr>
            <a:t>Premissas e Metodologia UtilizadaS: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1 -</a:t>
          </a:r>
          <a:r>
            <a:rPr lang="en-US" cap="none" sz="1100" b="0" i="0" u="none" baseline="0">
              <a:solidFill>
                <a:srgbClr val="000000"/>
              </a:solidFill>
            </a:rPr>
            <a:t> Os parâmetros macroeconômicos utilizados na elaboração das estimativas constantes no Anexo de Metas Fiscais são relacionados na </a:t>
          </a:r>
          <a:r>
            <a:rPr lang="en-US" cap="none" sz="1100" b="1" i="0" u="none" baseline="0">
              <a:solidFill>
                <a:srgbClr val="000000"/>
              </a:solidFill>
            </a:rPr>
            <a:t>Tabela 01.</a:t>
          </a:r>
          <a:r>
            <a:rPr lang="en-US" cap="none" sz="1100" b="0" i="0" u="none" baseline="0">
              <a:solidFill>
                <a:srgbClr val="000000"/>
              </a:solidFill>
            </a:rPr>
            <a:t> Os números estão apresentados de duas formas. Em moeda corrente e em valores constantes (sem inflação). Esses indicadores foram utilizados na composição da estimativa de receita que considerou a média de arrecadação, em cada fonte, tomando por base as receitas arrecadadas nos últimos três exercícios (2014, 2015 e 2016) e os valores reestimados para o exercício atual (2017), além das premissas consideradas como verdadeiras e relacionadas, por exemplo, ao índice de inflação, crescimento do PIB, atualização da planta de valores do IPTU, ampliação do perímetro urbano da cidade, políticas de combate à evasão e à sonegação fiscal, comportamento das receitas oriundas de transferências da União e do Estado, dentre outros.
</a:t>
          </a:r>
          <a:r>
            <a:rPr lang="en-US" cap="none" sz="1100" b="1" i="0" u="none" baseline="0">
              <a:solidFill>
                <a:srgbClr val="000000"/>
              </a:solidFill>
            </a:rPr>
            <a:t>2 -</a:t>
          </a:r>
          <a:r>
            <a:rPr lang="en-US" cap="none" sz="1100" b="0" i="0" u="none" baseline="0">
              <a:solidFill>
                <a:srgbClr val="000000"/>
              </a:solidFill>
            </a:rPr>
            <a:t> Em relação às despesas correntes, foram considerados os parâmetros de inflação, crescimento vegetativo e aumento real, quando cabível, das despesas de custeios.  Em relação aos investimentos, além da inflação, considerou-se a estimativa de crescimento real dessas despesas em nível que viabilize a sua expansão a fim de garantir, precipuamente, a conclusão dos projetos em andamento demonstrados no </a:t>
          </a:r>
          <a:r>
            <a:rPr lang="en-US" cap="none" sz="1100" b="1" i="0" u="none" baseline="0">
              <a:solidFill>
                <a:srgbClr val="000000"/>
              </a:solidFill>
            </a:rPr>
            <a:t>Anexo IV.</a:t>
          </a:r>
          <a:r>
            <a:rPr lang="en-US" cap="none" sz="1100" b="0" i="0" u="none" baseline="0">
              <a:solidFill>
                <a:srgbClr val="000000"/>
              </a:solidFill>
            </a:rPr>
            <a:t>  Asseguraram-se, ainda, os recursos para pagamento das obrigações decorrentes de juros e amortização da dívida pública.
</a:t>
          </a:r>
          <a:r>
            <a:rPr lang="en-US" cap="none" sz="1100" b="1" i="0" u="none" baseline="0">
              <a:solidFill>
                <a:srgbClr val="000000"/>
              </a:solidFill>
            </a:rPr>
            <a:t>3 –</a:t>
          </a:r>
          <a:r>
            <a:rPr lang="en-US" cap="none" sz="1100" b="0" i="0" u="none" baseline="0">
              <a:solidFill>
                <a:srgbClr val="000000"/>
              </a:solidFill>
            </a:rPr>
            <a:t> No tocante às despesas com pessoal, em específico, foi considerado o provável efeito da revisão geral anual prevista na Constituição da República, o crescimento vegetativo da folha salarial e eventual aumento acima dos níveis inflacionários.
</a:t>
          </a:r>
          <a:r>
            <a:rPr lang="en-US" cap="none" sz="1100" b="1" i="0" u="none" baseline="0">
              <a:solidFill>
                <a:srgbClr val="000000"/>
              </a:solidFill>
            </a:rPr>
            <a:t>4 -</a:t>
          </a:r>
          <a:r>
            <a:rPr lang="en-US" cap="none" sz="1100" b="0" i="0" u="none" baseline="0">
              <a:solidFill>
                <a:srgbClr val="000000"/>
              </a:solidFill>
            </a:rPr>
            <a:t> Considera-se o PIB e o IPCA como as principais variáveis para explicar o crescimento nominal das receitas, visto que boa parte das receitas tributárias e não tributárias, bem como as transferências constitucionais e legais acompanham o ritmo das atividades econômicas de âmbito nacional. Assim, para os exercícios de 2017, 2018 e 2019, considerou-se um crescimento do Produto Interno Bruto nacional de 1,13%, 2,08% e  2,30 % e das taxas de inflação (IPCA), de 5,23%, 4,74 % e  4,58 %, respectivamente, cujas projeções decorrem do sistema de expectativa de mercado, segundo informações do sítio do Banco Central do Brasil, verificadas em 05/08/2016.
</a:t>
          </a:r>
          <a:r>
            <a:rPr lang="en-US" cap="none" sz="1100" b="1" i="0" u="none" baseline="0">
              <a:solidFill>
                <a:srgbClr val="000000"/>
              </a:solidFill>
            </a:rPr>
            <a:t>5 -</a:t>
          </a:r>
          <a:r>
            <a:rPr lang="en-US" cap="none" sz="1100" b="0" i="0" u="none" baseline="0">
              <a:solidFill>
                <a:srgbClr val="000000"/>
              </a:solidFill>
            </a:rPr>
            <a:t> Outro ponto importante a ser destacado é que a receita do Município, conforme estabelece o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100" b="0" i="0" u="none" baseline="0">
              <a:solidFill>
                <a:srgbClr val="000000"/>
              </a:solidFill>
            </a:rPr>
            <a:t> 3º, do art. 1º da Lei Complementar nº 101/00, compreende as receitas de todos os órgãos da Administração Pública Municipal, inclusive as receitas intraorçamentárias.
</a:t>
          </a:r>
          <a:r>
            <a:rPr lang="en-US" cap="none" sz="1100" b="1" i="0" u="none" baseline="0">
              <a:solidFill>
                <a:srgbClr val="000000"/>
              </a:solidFill>
            </a:rPr>
            <a:t>6 -</a:t>
          </a:r>
          <a:r>
            <a:rPr lang="en-US" cap="none" sz="1100" b="0" i="0" u="none" baseline="0">
              <a:solidFill>
                <a:srgbClr val="000000"/>
              </a:solidFill>
            </a:rPr>
            <a:t> Em relação ao cálculo do Resultado Primário e do Resultado Nominal, considerou a metodologia estabelecida na Portaria STN nº 553/2014 e suas alterações. Os resultados primários previstos para os três exercícios são considerados suficientes para manutenção do equilíbrio fiscal. Cabe ponderar que, nos termos do art. 2º da LDO, o resultado primário poderá ser revisto por ocasião da elaboração da Lei Orçamentária Anual ou durante o exercício de 2017. O resultado nominal reflete a variação do endividamento fiscal líquido entre as datas referidas.
</a:t>
          </a:r>
          <a:r>
            <a:rPr lang="en-US" cap="none" sz="1100" b="1" i="0" u="none" baseline="0">
              <a:solidFill>
                <a:srgbClr val="000000"/>
              </a:solidFill>
            </a:rPr>
            <a:t>7 -</a:t>
          </a:r>
          <a:r>
            <a:rPr lang="en-US" cap="none" sz="1100" b="0" i="0" u="none" baseline="0">
              <a:solidFill>
                <a:srgbClr val="000000"/>
              </a:solidFill>
            </a:rPr>
            <a:t> Na estimativa do montante da dívida consolidada para 2017, 2018 e 2019, utilizou-se, como parâmetros a previsão da média anual para a taxa de juros SELIC,  de 11,81%, 10,54% e 10,08%, segundo informações do sítio do Banco Central do Brasil, verificadas em  05/08/2016.  
</a:t>
          </a:r>
          <a:r>
            <a:rPr lang="en-US" cap="none" sz="1100" b="1" i="0" u="none" baseline="0">
              <a:solidFill>
                <a:srgbClr val="000000"/>
              </a:solidFill>
            </a:rPr>
            <a:t>8 -</a:t>
          </a:r>
          <a:r>
            <a:rPr lang="en-US" cap="none" sz="1100" b="0" i="0" u="none" baseline="0">
              <a:solidFill>
                <a:srgbClr val="000000"/>
              </a:solidFill>
            </a:rPr>
            <a:t> Já na apuração do montante da dívida líquida, os valores das Disponibilidades Financeiras foram calculados levando-se em consideração a estimativa da posição em 31/12/2016, projetando-se os valores futuros com base nos percentuais médios dos valores realizados no ano anterior.
</a:t>
          </a:r>
          <a:r>
            <a:rPr lang="en-US" cap="none" sz="1100" b="1" i="0" u="none" baseline="0">
              <a:solidFill>
                <a:srgbClr val="000000"/>
              </a:solidFill>
            </a:rPr>
            <a:t>9 -</a:t>
          </a:r>
          <a:r>
            <a:rPr lang="en-US" cap="none" sz="1100" b="0" i="0" u="none" baseline="0">
              <a:solidFill>
                <a:srgbClr val="000000"/>
              </a:solidFill>
            </a:rPr>
            <a:t> Isso posto, podemos elencar, a partir da leitura das projeções estabelecidas, os números mais representativos no contexto das projeções:
</a:t>
          </a:r>
          <a:r>
            <a:rPr lang="en-US" cap="none" sz="1100" b="1" i="0" u="none" baseline="0">
              <a:solidFill>
                <a:srgbClr val="000000"/>
              </a:solidFill>
            </a:rPr>
            <a:t>9.1 -</a:t>
          </a:r>
          <a:r>
            <a:rPr lang="en-US" cap="none" sz="1100" b="0" i="0" u="none" baseline="0">
              <a:solidFill>
                <a:srgbClr val="000000"/>
              </a:solidFill>
            </a:rPr>
            <a:t> A receita total estimada para o exercício de 2017, consideradas todas as fontes de recursos é de R$ ____________, a preços correntes que, deduzidas das receitas financeiras, representadas pelos Rendimentos das Aplicações Financeiras (R$___________), das resultantes de Operações de Crédito (R$_____________), das Alienações de Bens (R$___________) e das resultantes de Amortização de Empréstimos Concedidos (R$________________), resultam numa Receita Primária de R$ ______________. 
</a:t>
          </a:r>
          <a:r>
            <a:rPr lang="en-US" cap="none" sz="1100" b="1" i="0" u="none" baseline="0">
              <a:solidFill>
                <a:srgbClr val="000000"/>
              </a:solidFill>
            </a:rPr>
            <a:t>9.2 -</a:t>
          </a:r>
          <a:r>
            <a:rPr lang="en-US" cap="none" sz="1100" b="0" i="0" u="none" baseline="0">
              <a:solidFill>
                <a:srgbClr val="000000"/>
              </a:solidFill>
            </a:rPr>
            <a:t> As despesas do Município foram programadas segundo o comportamento previsto da receita, sendo que o maior objetivo é manter, ou ainda, ampliar a capacidade própria de investimentos, sem comprometer o equilíbrio financeiro. Assim, consideradas todas as fontes de recursos, a despesa total está prevista em R$ _________. Deduzindo-se as despesas financeiras com juros e encargos da dívida, estimadas em R$ ________, mais as despesas com Concessão de Empréstimos e Financiamentos, no valor de R$ ________ e a Amortização da Dívida Publica, estimada em R$ ____________, tem-se que as despesas primárias para 2017 foram previstas em R$ ______________.
</a:t>
          </a:r>
          <a:r>
            <a:rPr lang="en-US" cap="none" sz="1100" b="1" i="0" u="none" baseline="0">
              <a:solidFill>
                <a:srgbClr val="000000"/>
              </a:solidFill>
            </a:rPr>
            <a:t>9.3 -</a:t>
          </a:r>
          <a:r>
            <a:rPr lang="en-US" cap="none" sz="1100" b="0" i="0" u="none" baseline="0">
              <a:solidFill>
                <a:srgbClr val="000000"/>
              </a:solidFill>
            </a:rPr>
            <a:t> Cotejando-se o valor previsto para as receitas e despesas primárias em valores correntes, chega-se à meta de resultado primário de 2017 que foi inicialmente prevista em R$ ______________ a qual entendemos como necessária e suficiente para preservar o equilíbrio nas contas públicas. No entanto, ressaltamos que, a depender do comportamento das variáveis macroeconômicas, ou na hipótese de frustração de arrecadação, a meta poderá ser alterada, conforme expressa previsão do art. 2º da LDO.
</a:t>
          </a:r>
          <a:r>
            <a:rPr lang="en-US" cap="none" sz="1100" b="1" i="0" u="none" baseline="0">
              <a:solidFill>
                <a:srgbClr val="000000"/>
              </a:solidFill>
            </a:rPr>
            <a:t>10 -</a:t>
          </a:r>
          <a:r>
            <a:rPr lang="en-US" cap="none" sz="1100" b="0" i="0" u="none" baseline="0">
              <a:solidFill>
                <a:srgbClr val="000000"/>
              </a:solidFill>
            </a:rPr>
            <a:t> Em relação ao estoque da dívida, esse corresponde à posição em dezembro de cada exercício, considerando a previsão das amortizações e das liberações a serem realizadas no respectivo período, estando os valores evidenciados na </a:t>
          </a:r>
          <a:r>
            <a:rPr lang="en-US" cap="none" sz="1100" b="1" i="0" u="none" baseline="0">
              <a:solidFill>
                <a:srgbClr val="000000"/>
              </a:solidFill>
            </a:rPr>
            <a:t>Tabela 02.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152400</xdr:rowOff>
    </xdr:from>
    <xdr:to>
      <xdr:col>9</xdr:col>
      <xdr:colOff>409575</xdr:colOff>
      <xdr:row>24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200025" y="3362325"/>
          <a:ext cx="88868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 foi elaborado pelo Poder Executivo Municipal para fins de dar maior transparência à meta de Resultado Primário, possibilitando o acompanhamento individualizado do resultado primário do Tesouro Municipal e do  Regime Próprio de Previdência, bem como auxiliar na avaliação do cumprimento das metas fiscais. A metodologia e os conceitos são idênticos aos utilizados para a elaboração do anexo de metas fiscais  (consolidado).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17</xdr:row>
      <xdr:rowOff>152400</xdr:rowOff>
    </xdr:from>
    <xdr:to>
      <xdr:col>9</xdr:col>
      <xdr:colOff>409575</xdr:colOff>
      <xdr:row>28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200025" y="3457575"/>
          <a:ext cx="944880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 foi elaborado pelo Poder Executivo Municipal para fins de dar maior transparência à meta de Resultado Primário.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valor acima identificados, representam as metas de receitas, despesas e resultado primário do Tesouro Municipal  (Excetuadas as receitas e despesas previdenciárias).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metodologia e os conceitos são idênticos aos utilizados para a elaboração do anexo de metas fiscais consolidado.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152400</xdr:rowOff>
    </xdr:from>
    <xdr:to>
      <xdr:col>6</xdr:col>
      <xdr:colOff>895350</xdr:colOff>
      <xdr:row>54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85725" y="3876675"/>
          <a:ext cx="7134225" cy="561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 objetivo deste demonstrativo é estabelecer uma comparação entre as metas fixadas e o resultado obtido no exercício anterior ao da edição da LDO (2015), incluindo análise dos fatores determinantes para o alcance ou não dos valores estabelecidos como metas, visando a atender o disposto no art. 4º,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100" b="0" i="0" u="none" baseline="0">
              <a:solidFill>
                <a:srgbClr val="000000"/>
              </a:solidFill>
            </a:rPr>
            <a:t> 2º, inciso I da LRF.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Assim, conforme demonstrado em audiência pública de avaliação das metas fiscais relativas ao terceiro quadrimestre do exercício financeiro de 2015 (art. 9º,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100" b="0" i="0" u="none" baseline="0">
              <a:solidFill>
                <a:srgbClr val="000000"/>
              </a:solidFill>
            </a:rPr>
            <a:t> 4º da LRF), o resultado primário, principal indicador de sustentabilidade fiscal do setor público, ficou em R$ ________________, valor______% &lt;&lt; superior / inferior &gt;&gt; à meta estabelecida, que era de R$ _______________. O desempenho verificado demonstra que o ingresso das receitas primárias (não financeiras) &lt;&lt; foi / não foi &gt;&gt; capaz de suportar o total das despesas primárias (não financeiras) do exercício.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As receitas não financeiras totalizaram R$ ______________, &lt;&lt; superando / frustrando &gt;&gt; em _____% a projeção para o período de R$ _____________. As despesas não financeiras atingiram R$ _______________,  estabelecendo-se  _______%  &lt;&lt; acima / abaixo &gt;&gt;  da previsão orçamentária. Não obstante a sua &lt;&lt; expansão / retração &gt;&gt;, corresponderam a ________ % do total das receitas primárias &lt;&lt; comprometendo /  não comprometendo &gt;&gt; , dessa forma, a obtenção do superávit primário.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Em parte, esse resultado é em decorrência do desempenho &lt;&lt; favorável / desfavorável &gt;&gt; apresentado pela receita, tendo sido fortemente condicionado pelo comportamento das receitas correntes, que apresentaram um &lt;&lt; incremento / déficit &gt;&gt; de ______% em relação ao valor consignado no orçamento. Destaca-se no exercício de 2015 a performance dos grupos de receita tributária, patrimonial e de transferências correntes, que &lt;&lt; superaram / frustraram &gt;&gt; a expectativa, respectivamente, em _____%,  ______% e  ________. 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A dívida consolidada totalizou R$ ____________, valor _______% &lt;&lt; inferior / superior &gt;&gt; ao saldo de R$ ______________ estimado para o exercício. Tal comportamento é reflexo do &lt;&lt; aumento / diminuição &gt;&gt; dos desembolsos da amortização da dívida que totalizou em 2015 R$  ____________, valor ______% &lt;&lt; maior  / menor &gt;&gt; que a projeção consignada na Lei do Orçamento de R$ ___________. 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</a:rPr>
            <a:t>No anexo de metas fiscais, que acompanhou a LDO para 2015, estipulou-se o montante da dívida fiscal líquida em R$ ___________. Contudo, os resultados efetivamente apurados e especificados no Relatório Resumido de Execução Orçamentária, e avaliados ao final daquele exercício apontam que o estoque da dívida, atualizado em dezembro daquele ano era de R$ ____________ que, comparado com o montante apurado ao final de 2014, apresentou um resultado nominal de R$ ______________, que ficou &lt;&lt; acima / abaixo&gt;&gt; da previsão inicial da LDO, que era de R$ ________________.
</a:t>
          </a:r>
          <a:r>
            <a:rPr lang="en-US" cap="none" sz="1100" b="0" i="0" u="none" baseline="0">
              <a:solidFill>
                <a:srgbClr val="000000"/>
              </a:solidFill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32</xdr:row>
      <xdr:rowOff>19050</xdr:rowOff>
    </xdr:from>
    <xdr:to>
      <xdr:col>11</xdr:col>
      <xdr:colOff>304800</xdr:colOff>
      <xdr:row>42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266700" y="5429250"/>
          <a:ext cx="1010602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demonstrativo tem por objetivo avaliar as metas previstas para o exercício da LDO (2018), em comparação com as estabelecidas para os três exercícios anteriores  (2014, 2015 e 2016), bem como para os três seguintes (2017, 2018 e 2019), referentes à Receita Total, Receitas Não Financeiras, Despesas Não Financeiras, Resultado Primário, Resultado Nominal, Dívida Pública Consolidada e Dívida Consolidada Líquida, cumprindo, assim,  a disposição contida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2º, inciso II,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valores relativos às previsões de Receitas, Despesas e Resultado Primário de 2014, 2015 e 2016 foram extraídos das respectivas Leis Orçamentárias Anuais. Já os valores da previsão do Resultado Nominal, Dívida Consolidada e Dívida Consolidada Líquida, foram extraídos dos respectivos anexos de metas fiscais.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Já em relação às previsões para os exercícios de 2017, 2018 e 2019, os valores, a metodologia, as premissas utilizadas e a respectiva memória de cálculo são as mesmas utilizadas para o estabelecimento das metas explicitadas no Demonstrativo de Metas Anuais, referido no art. 2º, inciso I, do Projeto de Lei de LDO, evidenciando, assim, a sua consistência.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28</xdr:row>
      <xdr:rowOff>28575</xdr:rowOff>
    </xdr:from>
    <xdr:to>
      <xdr:col>6</xdr:col>
      <xdr:colOff>552450</xdr:colOff>
      <xdr:row>47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142875" y="5553075"/>
          <a:ext cx="6800850" cy="3143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presente demonstrativo visa a demonstrar a evolução do Patrimônio Líquido nos três exercícios anteriores ao da edição da LDO (2014, 2015 e 2016), cumprindo, dessa forma, o disposto no art. 4º,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2º, inciso III, da LRF.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Nesse sentido, é preciso enfatizar que o Município segue as normas da Lei 4.320/64, não apresentando no seu balanço as nomenclaturas previstas na Lei 6.404/76. Assim, em vez de "Resultado Acumulado", o Município utiliza a nomenclatura de "Superávit ou Déficit do Exercício".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Sistema de Previdência, por força da Lei Municipal nº 149/98, está sobre a gestão do Fundo de Aposentadoria e Pensão do servidor - FAPS, sendo que seus registros contábeis estão em conformidade com as Normas do Ministério da Previdência Social e apartados das demais contas do Município.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 termos consolidados, a evolução do Patrimônio Líquido do Município, nos últimos três exercícios, demonstrada para o período de 2014 a 2016, aponta que o saldo patrimonial aumentou de R$ 13.980.234,44 em 31.12.2013 para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R$ 55.981.496,09 em 31.12.2015.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123825</xdr:rowOff>
    </xdr:from>
    <xdr:to>
      <xdr:col>3</xdr:col>
      <xdr:colOff>990600</xdr:colOff>
      <xdr:row>39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80975" y="6096000"/>
          <a:ext cx="6667500" cy="1304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demonstrativo acima tem por objetivo destacar as origens e as aplicações dos recursos obtidos, pelo Município, com a alienação de ativos, ocorridos nos 3 exercícios anteriores ao da edição da LDO  (2013,  2043 e 2015).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 dados apresentados permitem afirmar que o Município tem aplicado corretamente os recursos obtidos, na forma prescrita pelo art. 44 da Lei de Responsabilidade Fiscal que prescreve que "é vedada a aplicação da receita de capital derivada da alienação de bens e direitos que integram o patrimônio público para o financiamento de despesa corrente, salvo se destinada por lei aos regimes de previdência, geral e próprio dos servidores públicos."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F67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24" customWidth="1"/>
    <col min="4" max="5" width="21.421875" style="24" customWidth="1"/>
    <col min="6" max="6" width="19.57421875" style="24" customWidth="1"/>
    <col min="7" max="7" width="19.7109375" style="0" customWidth="1"/>
    <col min="8" max="8" width="19.421875" style="0" customWidth="1"/>
  </cols>
  <sheetData>
    <row r="1" spans="1:6" s="28" customFormat="1" ht="33.75" customHeight="1">
      <c r="A1" s="28" t="s">
        <v>94</v>
      </c>
      <c r="B1" s="28" t="s">
        <v>95</v>
      </c>
      <c r="C1" s="29">
        <v>2014</v>
      </c>
      <c r="D1" s="29">
        <f>C1+1</f>
        <v>2015</v>
      </c>
      <c r="E1" s="29">
        <f>D1+1</f>
        <v>2016</v>
      </c>
      <c r="F1" s="29">
        <f>E1+1</f>
        <v>2017</v>
      </c>
    </row>
    <row r="2" spans="3:6" s="43" customFormat="1" ht="18" customHeight="1">
      <c r="C2" s="44" t="s">
        <v>192</v>
      </c>
      <c r="D2" s="44" t="s">
        <v>192</v>
      </c>
      <c r="E2" s="44" t="s">
        <v>192</v>
      </c>
      <c r="F2" s="44" t="s">
        <v>193</v>
      </c>
    </row>
    <row r="3" spans="1:6" s="23" customFormat="1" ht="12.75">
      <c r="A3" s="48" t="s">
        <v>50</v>
      </c>
      <c r="B3" s="49" t="s">
        <v>2</v>
      </c>
      <c r="C3" s="61">
        <f>C4+C5+C8+C13+C14+C15+C16+C17</f>
        <v>15969473.490000002</v>
      </c>
      <c r="D3" s="61">
        <f>D4+D5+D8+D13+D14+D15+D16+D17</f>
        <v>17854017.8</v>
      </c>
      <c r="E3" s="61">
        <f>E4+E5+E8+E13+E14+E15+E16+E17</f>
        <v>22791278.64</v>
      </c>
      <c r="F3" s="61">
        <f>F4+F5+F8+F13+F14+F15+F16+F17</f>
        <v>22720943.472499996</v>
      </c>
    </row>
    <row r="4" spans="1:6" s="23" customFormat="1" ht="12.75">
      <c r="A4" s="52" t="s">
        <v>51</v>
      </c>
      <c r="B4" s="53" t="s">
        <v>52</v>
      </c>
      <c r="C4" s="158">
        <v>403947.42</v>
      </c>
      <c r="D4" s="158">
        <v>460670.36</v>
      </c>
      <c r="E4" s="158">
        <v>582056.21</v>
      </c>
      <c r="F4" s="158">
        <f>E4*1.15</f>
        <v>669364.6414999999</v>
      </c>
    </row>
    <row r="5" spans="1:6" s="23" customFormat="1" ht="12.75">
      <c r="A5" s="52" t="s">
        <v>53</v>
      </c>
      <c r="B5" s="53" t="s">
        <v>54</v>
      </c>
      <c r="C5" s="107">
        <f>C6+C7</f>
        <v>700476.9199999999</v>
      </c>
      <c r="D5" s="107">
        <f>D6+D7</f>
        <v>866149.01</v>
      </c>
      <c r="E5" s="107">
        <f>E6+E7</f>
        <v>795700.1</v>
      </c>
      <c r="F5" s="107"/>
    </row>
    <row r="6" spans="1:6" s="23" customFormat="1" ht="12.75">
      <c r="A6" s="52" t="s">
        <v>53</v>
      </c>
      <c r="B6" s="53" t="s">
        <v>224</v>
      </c>
      <c r="C6" s="158">
        <v>167603.22</v>
      </c>
      <c r="D6" s="158">
        <v>240450.48</v>
      </c>
      <c r="E6" s="158">
        <v>246291.1</v>
      </c>
      <c r="F6" s="158">
        <f>E6*1.15</f>
        <v>283234.76499999996</v>
      </c>
    </row>
    <row r="7" spans="1:6" s="23" customFormat="1" ht="12.75">
      <c r="A7" s="52" t="s">
        <v>225</v>
      </c>
      <c r="B7" s="359" t="s">
        <v>373</v>
      </c>
      <c r="C7" s="158">
        <v>532873.7</v>
      </c>
      <c r="D7" s="158">
        <v>625698.53</v>
      </c>
      <c r="E7" s="158">
        <v>549409</v>
      </c>
      <c r="F7" s="158">
        <f>E7*1.15</f>
        <v>631820.35</v>
      </c>
    </row>
    <row r="8" spans="1:6" s="23" customFormat="1" ht="12.75">
      <c r="A8" s="52" t="s">
        <v>55</v>
      </c>
      <c r="B8" s="53" t="s">
        <v>3</v>
      </c>
      <c r="C8" s="61">
        <f>C9+C12</f>
        <v>1221699.24</v>
      </c>
      <c r="D8" s="61">
        <v>1585025.8</v>
      </c>
      <c r="E8" s="61">
        <f>E9+E12</f>
        <v>2238236.39</v>
      </c>
      <c r="F8" s="61">
        <f>F9+F12</f>
        <v>0</v>
      </c>
    </row>
    <row r="9" spans="1:6" ht="12.75">
      <c r="A9" s="52" t="s">
        <v>56</v>
      </c>
      <c r="B9" s="53" t="s">
        <v>188</v>
      </c>
      <c r="C9" s="107">
        <f>C10+C11</f>
        <v>1221699.24</v>
      </c>
      <c r="D9" s="107">
        <v>1585025.8</v>
      </c>
      <c r="E9" s="107">
        <f>E10+E11</f>
        <v>2238236.39</v>
      </c>
      <c r="F9" s="107"/>
    </row>
    <row r="10" spans="1:6" ht="12.75">
      <c r="A10" s="52" t="s">
        <v>56</v>
      </c>
      <c r="B10" s="53" t="s">
        <v>226</v>
      </c>
      <c r="C10" s="158">
        <v>208150.84</v>
      </c>
      <c r="D10" s="158">
        <v>196713.81</v>
      </c>
      <c r="E10" s="158">
        <v>258732.66</v>
      </c>
      <c r="F10" s="158">
        <f aca="true" t="shared" si="0" ref="F10:F28">E10*1.15</f>
        <v>297542.559</v>
      </c>
    </row>
    <row r="11" spans="1:6" ht="12.75">
      <c r="A11" s="52" t="s">
        <v>56</v>
      </c>
      <c r="B11" s="359" t="s">
        <v>374</v>
      </c>
      <c r="C11" s="158">
        <v>1013548.4</v>
      </c>
      <c r="D11" s="158">
        <v>1388311.99</v>
      </c>
      <c r="E11" s="158">
        <v>1979503.73</v>
      </c>
      <c r="F11" s="158">
        <f t="shared" si="0"/>
        <v>2276429.2895</v>
      </c>
    </row>
    <row r="12" spans="1:6" ht="12.75">
      <c r="A12" s="52" t="s">
        <v>57</v>
      </c>
      <c r="B12" s="53" t="s">
        <v>58</v>
      </c>
      <c r="C12" s="158">
        <v>0</v>
      </c>
      <c r="D12" s="158">
        <v>0</v>
      </c>
      <c r="E12" s="158">
        <v>0</v>
      </c>
      <c r="F12" s="158">
        <f t="shared" si="0"/>
        <v>0</v>
      </c>
    </row>
    <row r="13" spans="1:6" ht="12.75">
      <c r="A13" s="52" t="s">
        <v>59</v>
      </c>
      <c r="B13" s="53" t="s">
        <v>60</v>
      </c>
      <c r="C13" s="158">
        <v>0</v>
      </c>
      <c r="D13" s="158">
        <v>0</v>
      </c>
      <c r="E13" s="158">
        <v>0</v>
      </c>
      <c r="F13" s="158">
        <f t="shared" si="0"/>
        <v>0</v>
      </c>
    </row>
    <row r="14" spans="1:6" ht="12.75">
      <c r="A14" s="52" t="s">
        <v>61</v>
      </c>
      <c r="B14" s="53" t="s">
        <v>4</v>
      </c>
      <c r="C14" s="158">
        <v>0</v>
      </c>
      <c r="D14" s="158">
        <v>0</v>
      </c>
      <c r="E14" s="158">
        <v>0</v>
      </c>
      <c r="F14" s="158">
        <f t="shared" si="0"/>
        <v>0</v>
      </c>
    </row>
    <row r="15" spans="1:6" ht="12.75">
      <c r="A15" s="52" t="s">
        <v>62</v>
      </c>
      <c r="B15" s="53" t="s">
        <v>63</v>
      </c>
      <c r="C15" s="158">
        <v>781324.71</v>
      </c>
      <c r="D15" s="158">
        <v>829962.91</v>
      </c>
      <c r="E15" s="158">
        <v>832893.04</v>
      </c>
      <c r="F15" s="158">
        <f t="shared" si="0"/>
        <v>957826.9959999999</v>
      </c>
    </row>
    <row r="16" spans="1:6" s="23" customFormat="1" ht="12.75">
      <c r="A16" s="52" t="s">
        <v>64</v>
      </c>
      <c r="B16" s="53" t="s">
        <v>65</v>
      </c>
      <c r="C16" s="158">
        <v>12735467.65</v>
      </c>
      <c r="D16" s="158">
        <v>13960271.03</v>
      </c>
      <c r="E16" s="158">
        <v>18211931.07</v>
      </c>
      <c r="F16" s="158">
        <f t="shared" si="0"/>
        <v>20943720.730499998</v>
      </c>
    </row>
    <row r="17" spans="1:6" s="23" customFormat="1" ht="12.75">
      <c r="A17" s="52" t="s">
        <v>66</v>
      </c>
      <c r="B17" s="53" t="s">
        <v>5</v>
      </c>
      <c r="C17" s="107">
        <v>126557.55</v>
      </c>
      <c r="D17" s="107">
        <f>D18+D19</f>
        <v>151938.69</v>
      </c>
      <c r="E17" s="107">
        <f>E18+E19</f>
        <v>130461.83</v>
      </c>
      <c r="F17" s="107">
        <f>F18+F19</f>
        <v>150031.1045</v>
      </c>
    </row>
    <row r="18" spans="1:6" s="23" customFormat="1" ht="12.75">
      <c r="A18" s="52" t="s">
        <v>66</v>
      </c>
      <c r="B18" s="53" t="s">
        <v>227</v>
      </c>
      <c r="C18" s="158">
        <v>126557.55</v>
      </c>
      <c r="D18" s="158">
        <v>151938.69</v>
      </c>
      <c r="E18" s="158">
        <v>130461.83</v>
      </c>
      <c r="F18" s="158">
        <f t="shared" si="0"/>
        <v>150031.1045</v>
      </c>
    </row>
    <row r="19" spans="1:6" s="23" customFormat="1" ht="12.75">
      <c r="A19" s="52" t="s">
        <v>66</v>
      </c>
      <c r="B19" s="359" t="s">
        <v>375</v>
      </c>
      <c r="C19" s="158">
        <v>0</v>
      </c>
      <c r="D19" s="158">
        <v>0</v>
      </c>
      <c r="E19" s="158">
        <v>0</v>
      </c>
      <c r="F19" s="158">
        <f t="shared" si="0"/>
        <v>0</v>
      </c>
    </row>
    <row r="20" spans="1:6" s="23" customFormat="1" ht="12.75">
      <c r="A20" s="50" t="s">
        <v>67</v>
      </c>
      <c r="B20" s="51" t="s">
        <v>68</v>
      </c>
      <c r="C20" s="61">
        <f>C21+C22+C23+C24+C25</f>
        <v>1164834.6099999999</v>
      </c>
      <c r="D20" s="61">
        <f>D21+D22+D23+D24+D25</f>
        <v>236897.22</v>
      </c>
      <c r="E20" s="61">
        <f>E21+E22+E23+E24+E25</f>
        <v>373813.67</v>
      </c>
      <c r="F20" s="61">
        <f>F21+F22+F23+F24+F25</f>
        <v>429885.72049999994</v>
      </c>
    </row>
    <row r="21" spans="1:6" s="23" customFormat="1" ht="12.75">
      <c r="A21" s="52" t="s">
        <v>69</v>
      </c>
      <c r="B21" s="53" t="s">
        <v>70</v>
      </c>
      <c r="C21" s="158">
        <v>0</v>
      </c>
      <c r="D21" s="158">
        <v>0</v>
      </c>
      <c r="E21" s="158">
        <v>0</v>
      </c>
      <c r="F21" s="158">
        <f t="shared" si="0"/>
        <v>0</v>
      </c>
    </row>
    <row r="22" spans="1:6" s="23" customFormat="1" ht="12.75">
      <c r="A22" s="52" t="s">
        <v>71</v>
      </c>
      <c r="B22" s="53" t="s">
        <v>72</v>
      </c>
      <c r="C22" s="158">
        <v>120900</v>
      </c>
      <c r="D22" s="158">
        <v>59300</v>
      </c>
      <c r="E22" s="158">
        <v>0</v>
      </c>
      <c r="F22" s="158">
        <f t="shared" si="0"/>
        <v>0</v>
      </c>
    </row>
    <row r="23" spans="1:6" ht="12.75">
      <c r="A23" s="52" t="s">
        <v>73</v>
      </c>
      <c r="B23" s="53" t="s">
        <v>74</v>
      </c>
      <c r="C23" s="158">
        <v>0</v>
      </c>
      <c r="D23" s="158">
        <v>0</v>
      </c>
      <c r="E23" s="158">
        <v>0</v>
      </c>
      <c r="F23" s="158">
        <f t="shared" si="0"/>
        <v>0</v>
      </c>
    </row>
    <row r="24" spans="1:6" s="23" customFormat="1" ht="12.75">
      <c r="A24" s="52" t="s">
        <v>75</v>
      </c>
      <c r="B24" s="53" t="s">
        <v>76</v>
      </c>
      <c r="C24" s="158">
        <v>553550</v>
      </c>
      <c r="D24" s="158">
        <v>16000</v>
      </c>
      <c r="E24" s="158">
        <v>373813.67</v>
      </c>
      <c r="F24" s="158">
        <f t="shared" si="0"/>
        <v>429885.72049999994</v>
      </c>
    </row>
    <row r="25" spans="1:6" ht="12.75">
      <c r="A25" s="52" t="s">
        <v>77</v>
      </c>
      <c r="B25" s="53" t="s">
        <v>6</v>
      </c>
      <c r="C25" s="158">
        <v>490384.61</v>
      </c>
      <c r="D25" s="158">
        <v>161597.22</v>
      </c>
      <c r="E25" s="158">
        <v>0</v>
      </c>
      <c r="F25" s="158">
        <f t="shared" si="0"/>
        <v>0</v>
      </c>
    </row>
    <row r="26" spans="1:6" ht="12.75">
      <c r="A26" s="52" t="s">
        <v>228</v>
      </c>
      <c r="B26" s="359" t="s">
        <v>376</v>
      </c>
      <c r="C26" s="158">
        <v>913561.42</v>
      </c>
      <c r="D26" s="158">
        <v>1170479.99</v>
      </c>
      <c r="E26" s="158">
        <v>1337768.5</v>
      </c>
      <c r="F26" s="158">
        <f t="shared" si="0"/>
        <v>1538433.775</v>
      </c>
    </row>
    <row r="27" spans="1:6" ht="12.75">
      <c r="A27" s="52" t="s">
        <v>295</v>
      </c>
      <c r="B27" s="51" t="s">
        <v>199</v>
      </c>
      <c r="C27" s="158">
        <v>0</v>
      </c>
      <c r="D27" s="158">
        <v>0</v>
      </c>
      <c r="E27" s="158">
        <v>0</v>
      </c>
      <c r="F27" s="158">
        <f t="shared" si="0"/>
        <v>0</v>
      </c>
    </row>
    <row r="28" spans="1:6" ht="12.75">
      <c r="A28" s="52"/>
      <c r="B28" s="53"/>
      <c r="C28" s="158">
        <v>0</v>
      </c>
      <c r="D28" s="158">
        <v>0</v>
      </c>
      <c r="E28" s="158">
        <v>0</v>
      </c>
      <c r="F28" s="158">
        <f t="shared" si="0"/>
        <v>0</v>
      </c>
    </row>
    <row r="29" spans="1:6" s="23" customFormat="1" ht="12.75">
      <c r="A29" s="55"/>
      <c r="B29" s="54" t="s">
        <v>78</v>
      </c>
      <c r="C29" s="61">
        <f>C3+C20+C26+C27</f>
        <v>18047869.520000003</v>
      </c>
      <c r="D29" s="61">
        <f>D3+D20+D26+D27</f>
        <v>19261395.009999998</v>
      </c>
      <c r="E29" s="61">
        <f>E3+E20+E26+E27</f>
        <v>24502860.810000002</v>
      </c>
      <c r="F29" s="61">
        <f>F3+F20+F26+F27</f>
        <v>24689262.967999995</v>
      </c>
    </row>
    <row r="31" spans="1:6" s="28" customFormat="1" ht="33.75" customHeight="1">
      <c r="A31" s="28" t="s">
        <v>94</v>
      </c>
      <c r="B31" s="28" t="s">
        <v>95</v>
      </c>
      <c r="C31" s="29">
        <v>2014</v>
      </c>
      <c r="D31" s="29">
        <f>C31+1</f>
        <v>2015</v>
      </c>
      <c r="E31" s="29">
        <f>D31+1</f>
        <v>2016</v>
      </c>
      <c r="F31" s="29">
        <f>E31+1</f>
        <v>2017</v>
      </c>
    </row>
    <row r="32" spans="3:6" s="43" customFormat="1" ht="20.25" customHeight="1">
      <c r="C32" s="44" t="s">
        <v>194</v>
      </c>
      <c r="D32" s="44" t="s">
        <v>194</v>
      </c>
      <c r="E32" s="44" t="s">
        <v>194</v>
      </c>
      <c r="F32" s="44" t="s">
        <v>193</v>
      </c>
    </row>
    <row r="33" spans="1:6" s="23" customFormat="1" ht="12.75">
      <c r="A33" s="45" t="s">
        <v>79</v>
      </c>
      <c r="B33" s="58" t="s">
        <v>7</v>
      </c>
      <c r="C33" s="61">
        <f>C34+C37+C40</f>
        <v>14854818.68</v>
      </c>
      <c r="D33" s="61">
        <f>D34+D37+D40</f>
        <v>15629513.98</v>
      </c>
      <c r="E33" s="61">
        <f>E34+E37+E40</f>
        <v>17027734.34</v>
      </c>
      <c r="F33" s="61">
        <f>F34+F37+F40</f>
        <v>19581894.490999997</v>
      </c>
    </row>
    <row r="34" spans="1:6" s="23" customFormat="1" ht="12.75">
      <c r="A34" s="46" t="s">
        <v>80</v>
      </c>
      <c r="B34" s="56" t="s">
        <v>81</v>
      </c>
      <c r="C34" s="107">
        <f>C35+C36</f>
        <v>8411304.37</v>
      </c>
      <c r="D34" s="107">
        <f>D35+D36</f>
        <v>9004974.78</v>
      </c>
      <c r="E34" s="107">
        <f>E35+E36</f>
        <v>9556900.69</v>
      </c>
      <c r="F34" s="107">
        <f>F35+F36</f>
        <v>10990435.793499999</v>
      </c>
    </row>
    <row r="35" spans="1:6" s="23" customFormat="1" ht="12.75">
      <c r="A35" s="46" t="s">
        <v>80</v>
      </c>
      <c r="B35" s="56" t="s">
        <v>229</v>
      </c>
      <c r="C35" s="158">
        <v>8384499.8</v>
      </c>
      <c r="D35" s="158">
        <v>8914124.25</v>
      </c>
      <c r="E35" s="158">
        <f>9556900.69-16436.62</f>
        <v>9540464.07</v>
      </c>
      <c r="F35" s="158">
        <f aca="true" t="shared" si="1" ref="F35:F42">E35*1.15</f>
        <v>10971533.680499999</v>
      </c>
    </row>
    <row r="36" spans="1:6" s="23" customFormat="1" ht="12.75">
      <c r="A36" s="46" t="s">
        <v>80</v>
      </c>
      <c r="B36" s="360" t="s">
        <v>377</v>
      </c>
      <c r="C36" s="158">
        <v>26804.57</v>
      </c>
      <c r="D36" s="158">
        <v>90850.53</v>
      </c>
      <c r="E36" s="158">
        <v>16436.62</v>
      </c>
      <c r="F36" s="158">
        <f t="shared" si="1"/>
        <v>18902.112999999998</v>
      </c>
    </row>
    <row r="37" spans="1:6" ht="12.75">
      <c r="A37" s="47" t="s">
        <v>82</v>
      </c>
      <c r="B37" s="56" t="s">
        <v>198</v>
      </c>
      <c r="C37" s="107">
        <f>C38+C39</f>
        <v>41793.05</v>
      </c>
      <c r="D37" s="107">
        <f>D38+D39</f>
        <v>22710.27</v>
      </c>
      <c r="E37" s="107">
        <f>E38+E39</f>
        <v>32679.25</v>
      </c>
      <c r="F37" s="107">
        <f>F38+F39</f>
        <v>37581.1375</v>
      </c>
    </row>
    <row r="38" spans="1:6" ht="12.75">
      <c r="A38" s="47" t="s">
        <v>82</v>
      </c>
      <c r="B38" s="56" t="s">
        <v>83</v>
      </c>
      <c r="C38" s="158">
        <v>41793.05</v>
      </c>
      <c r="D38" s="158">
        <v>22710.27</v>
      </c>
      <c r="E38" s="158">
        <v>32679.25</v>
      </c>
      <c r="F38" s="158">
        <f t="shared" si="1"/>
        <v>37581.1375</v>
      </c>
    </row>
    <row r="39" spans="1:6" ht="12.75">
      <c r="A39" s="47" t="s">
        <v>82</v>
      </c>
      <c r="B39" s="360" t="s">
        <v>378</v>
      </c>
      <c r="C39" s="158">
        <v>0</v>
      </c>
      <c r="D39" s="158">
        <v>0</v>
      </c>
      <c r="E39" s="158">
        <v>0</v>
      </c>
      <c r="F39" s="158">
        <f t="shared" si="1"/>
        <v>0</v>
      </c>
    </row>
    <row r="40" spans="1:6" s="23" customFormat="1" ht="12.75">
      <c r="A40" s="46" t="s">
        <v>84</v>
      </c>
      <c r="B40" s="56" t="s">
        <v>85</v>
      </c>
      <c r="C40" s="107">
        <f>C41+C42</f>
        <v>6401721.26</v>
      </c>
      <c r="D40" s="107">
        <f>D41+D42</f>
        <v>6601828.930000001</v>
      </c>
      <c r="E40" s="107">
        <f>E41+E42</f>
        <v>7438154.4</v>
      </c>
      <c r="F40" s="107">
        <f>F41+F42</f>
        <v>8553877.56</v>
      </c>
    </row>
    <row r="41" spans="1:6" s="23" customFormat="1" ht="12.75">
      <c r="A41" s="46" t="s">
        <v>84</v>
      </c>
      <c r="B41" s="56" t="s">
        <v>230</v>
      </c>
      <c r="C41" s="158">
        <v>5601092.51</v>
      </c>
      <c r="D41" s="386">
        <v>5591114.15</v>
      </c>
      <c r="E41" s="386">
        <f>7438154.4-1177046.54</f>
        <v>6261107.86</v>
      </c>
      <c r="F41" s="158">
        <f t="shared" si="1"/>
        <v>7200274.039</v>
      </c>
    </row>
    <row r="42" spans="1:6" s="23" customFormat="1" ht="12.75">
      <c r="A42" s="46" t="s">
        <v>84</v>
      </c>
      <c r="B42" s="360" t="s">
        <v>379</v>
      </c>
      <c r="C42" s="158">
        <v>800628.75</v>
      </c>
      <c r="D42" s="158">
        <v>1010714.78</v>
      </c>
      <c r="E42" s="158">
        <v>1177046.54</v>
      </c>
      <c r="F42" s="158">
        <f t="shared" si="1"/>
        <v>1353603.521</v>
      </c>
    </row>
    <row r="43" spans="1:6" s="23" customFormat="1" ht="12.75">
      <c r="A43" s="46" t="s">
        <v>86</v>
      </c>
      <c r="B43" s="59" t="s">
        <v>8</v>
      </c>
      <c r="C43" s="61">
        <v>1107747.04</v>
      </c>
      <c r="D43" s="61">
        <f>D44+D47+D50</f>
        <v>1696262.86</v>
      </c>
      <c r="E43" s="61">
        <f>E44+E47+E50</f>
        <v>1477173.57</v>
      </c>
      <c r="F43" s="61">
        <f>F44+F47+F50</f>
        <v>1698749.6054999998</v>
      </c>
    </row>
    <row r="44" spans="1:6" s="23" customFormat="1" ht="12.75">
      <c r="A44" s="46" t="s">
        <v>87</v>
      </c>
      <c r="B44" s="56" t="s">
        <v>9</v>
      </c>
      <c r="C44" s="107">
        <f>C45+C46</f>
        <v>900814.07</v>
      </c>
      <c r="D44" s="107">
        <f>D45+D46</f>
        <v>1469252.85</v>
      </c>
      <c r="E44" s="107">
        <f>E45+E46</f>
        <v>1314786.74</v>
      </c>
      <c r="F44" s="107">
        <f>F45+F46</f>
        <v>1512004.751</v>
      </c>
    </row>
    <row r="45" spans="1:6" s="23" customFormat="1" ht="12.75">
      <c r="A45" s="46" t="s">
        <v>87</v>
      </c>
      <c r="B45" s="56" t="s">
        <v>231</v>
      </c>
      <c r="C45" s="158">
        <v>900814.07</v>
      </c>
      <c r="D45" s="158">
        <v>1469252.85</v>
      </c>
      <c r="E45" s="158">
        <v>1314786.74</v>
      </c>
      <c r="F45" s="158">
        <f aca="true" t="shared" si="2" ref="F45:F51">E45*1.15</f>
        <v>1512004.751</v>
      </c>
    </row>
    <row r="46" spans="1:6" s="23" customFormat="1" ht="12.75">
      <c r="A46" s="46" t="s">
        <v>87</v>
      </c>
      <c r="B46" s="360" t="s">
        <v>380</v>
      </c>
      <c r="C46" s="158">
        <v>0</v>
      </c>
      <c r="D46" s="158">
        <v>0</v>
      </c>
      <c r="E46" s="158">
        <v>0</v>
      </c>
      <c r="F46" s="158">
        <f t="shared" si="2"/>
        <v>0</v>
      </c>
    </row>
    <row r="47" spans="1:6" s="23" customFormat="1" ht="12.75">
      <c r="A47" s="46" t="s">
        <v>88</v>
      </c>
      <c r="B47" s="56" t="s">
        <v>10</v>
      </c>
      <c r="C47" s="61">
        <f>C48+C49</f>
        <v>0</v>
      </c>
      <c r="D47" s="61">
        <f>D48+D49</f>
        <v>2500</v>
      </c>
      <c r="E47" s="61">
        <f>E48+E49</f>
        <v>4302.56</v>
      </c>
      <c r="F47" s="61">
        <f>F48+F49</f>
        <v>4947.944</v>
      </c>
    </row>
    <row r="48" spans="1:6" ht="12.75">
      <c r="A48" s="47" t="s">
        <v>89</v>
      </c>
      <c r="B48" s="56" t="s">
        <v>90</v>
      </c>
      <c r="C48" s="158">
        <v>0</v>
      </c>
      <c r="D48" s="158">
        <v>0</v>
      </c>
      <c r="E48" s="158">
        <v>0</v>
      </c>
      <c r="F48" s="158">
        <f t="shared" si="2"/>
        <v>0</v>
      </c>
    </row>
    <row r="49" spans="1:6" ht="12.75">
      <c r="A49" s="47" t="s">
        <v>190</v>
      </c>
      <c r="B49" s="56" t="s">
        <v>191</v>
      </c>
      <c r="C49" s="158">
        <v>0</v>
      </c>
      <c r="D49" s="158">
        <v>2500</v>
      </c>
      <c r="E49" s="158">
        <v>4302.56</v>
      </c>
      <c r="F49" s="158">
        <f t="shared" si="2"/>
        <v>4947.944</v>
      </c>
    </row>
    <row r="50" spans="1:6" s="23" customFormat="1" ht="12.75">
      <c r="A50" s="46" t="s">
        <v>91</v>
      </c>
      <c r="B50" s="56" t="s">
        <v>92</v>
      </c>
      <c r="C50" s="158">
        <v>206932.97</v>
      </c>
      <c r="D50" s="158">
        <v>224510.01</v>
      </c>
      <c r="E50" s="158">
        <v>158084.27</v>
      </c>
      <c r="F50" s="158">
        <f t="shared" si="2"/>
        <v>181796.91049999997</v>
      </c>
    </row>
    <row r="51" spans="1:6" s="23" customFormat="1" ht="12.75">
      <c r="A51" s="46"/>
      <c r="B51" s="56"/>
      <c r="C51" s="162">
        <v>0</v>
      </c>
      <c r="D51" s="162">
        <v>0</v>
      </c>
      <c r="E51" s="162"/>
      <c r="F51" s="158">
        <f t="shared" si="2"/>
        <v>0</v>
      </c>
    </row>
    <row r="52" spans="1:6" s="23" customFormat="1" ht="12.75">
      <c r="A52" s="46" t="s">
        <v>349</v>
      </c>
      <c r="B52" s="56" t="s">
        <v>200</v>
      </c>
      <c r="C52" s="88"/>
      <c r="D52" s="88"/>
      <c r="E52" s="88"/>
      <c r="F52" s="61">
        <f>F29-F33-F43-F53</f>
        <v>334441.09099999815</v>
      </c>
    </row>
    <row r="53" spans="1:6" s="23" customFormat="1" ht="12.75">
      <c r="A53" s="46" t="s">
        <v>350</v>
      </c>
      <c r="B53" s="360" t="s">
        <v>232</v>
      </c>
      <c r="C53" s="108"/>
      <c r="D53" s="108"/>
      <c r="E53" s="108"/>
      <c r="F53" s="109">
        <f>(F7+F11+F19+F26)-(F36+F39+F42+F46)</f>
        <v>3074177.7805000003</v>
      </c>
    </row>
    <row r="54" spans="1:6" ht="12.75">
      <c r="A54" s="47"/>
      <c r="B54" s="56"/>
      <c r="C54" s="162"/>
      <c r="D54" s="162"/>
      <c r="E54" s="162"/>
      <c r="F54" s="162"/>
    </row>
    <row r="55" spans="1:6" s="23" customFormat="1" ht="12.75">
      <c r="A55" s="50"/>
      <c r="B55" s="59" t="s">
        <v>93</v>
      </c>
      <c r="C55" s="61">
        <f>C33+C43</f>
        <v>15962565.719999999</v>
      </c>
      <c r="D55" s="61">
        <f>D33+D43</f>
        <v>17325776.84</v>
      </c>
      <c r="E55" s="61">
        <f>E33+E43</f>
        <v>18504907.91</v>
      </c>
      <c r="F55" s="61">
        <f>F33+F43+F52+F53</f>
        <v>24689262.967999995</v>
      </c>
    </row>
    <row r="56" spans="1:6" ht="13.5" thickBot="1">
      <c r="A56" s="47"/>
      <c r="B56" s="56"/>
      <c r="C56" s="62"/>
      <c r="D56" s="62"/>
      <c r="E56" s="62"/>
      <c r="F56" s="62"/>
    </row>
    <row r="57" spans="1:6" ht="13.5" thickTop="1">
      <c r="A57" s="47"/>
      <c r="B57" s="89" t="s">
        <v>208</v>
      </c>
      <c r="C57" s="27">
        <v>2014</v>
      </c>
      <c r="D57" s="27">
        <f>C57+1</f>
        <v>2015</v>
      </c>
      <c r="E57" s="27">
        <f>D57+1</f>
        <v>2016</v>
      </c>
      <c r="F57" s="27">
        <f>E57+1</f>
        <v>2017</v>
      </c>
    </row>
    <row r="58" spans="1:6" s="23" customFormat="1" ht="12.75">
      <c r="A58" s="50"/>
      <c r="B58" s="56" t="s">
        <v>286</v>
      </c>
      <c r="C58" s="159">
        <v>13927400</v>
      </c>
      <c r="D58" s="159">
        <v>15947110</v>
      </c>
      <c r="E58" s="159">
        <v>21902489.5</v>
      </c>
      <c r="F58" s="158">
        <f aca="true" t="shared" si="3" ref="F58:F67">E58*1.15</f>
        <v>25187862.924999997</v>
      </c>
    </row>
    <row r="59" spans="1:6" ht="12.75">
      <c r="A59" s="47"/>
      <c r="B59" s="56" t="s">
        <v>165</v>
      </c>
      <c r="C59" s="160">
        <v>505000</v>
      </c>
      <c r="D59" s="160">
        <v>1171150</v>
      </c>
      <c r="E59" s="160">
        <v>2238236</v>
      </c>
      <c r="F59" s="158">
        <f t="shared" si="3"/>
        <v>2573971.4</v>
      </c>
    </row>
    <row r="60" spans="1:6" ht="12.75">
      <c r="A60" s="47"/>
      <c r="B60" s="56" t="s">
        <v>166</v>
      </c>
      <c r="C60" s="160">
        <v>0</v>
      </c>
      <c r="D60" s="160">
        <v>0</v>
      </c>
      <c r="E60" s="160">
        <v>0</v>
      </c>
      <c r="F60" s="158">
        <f t="shared" si="3"/>
        <v>0</v>
      </c>
    </row>
    <row r="61" spans="1:6" ht="12.75">
      <c r="A61" s="47"/>
      <c r="B61" s="56" t="s">
        <v>167</v>
      </c>
      <c r="C61" s="160">
        <v>0</v>
      </c>
      <c r="D61" s="160">
        <v>0</v>
      </c>
      <c r="E61" s="160">
        <v>0</v>
      </c>
      <c r="F61" s="158">
        <f t="shared" si="3"/>
        <v>0</v>
      </c>
    </row>
    <row r="62" spans="1:6" ht="12.75">
      <c r="A62" s="47"/>
      <c r="B62" s="56" t="s">
        <v>172</v>
      </c>
      <c r="C62" s="160">
        <v>0</v>
      </c>
      <c r="D62" s="160">
        <v>0</v>
      </c>
      <c r="E62" s="160">
        <v>0</v>
      </c>
      <c r="F62" s="158">
        <f t="shared" si="3"/>
        <v>0</v>
      </c>
    </row>
    <row r="63" spans="1:6" s="23" customFormat="1" ht="12.75">
      <c r="A63" s="50"/>
      <c r="B63" s="56" t="s">
        <v>168</v>
      </c>
      <c r="C63" s="159">
        <f>C58</f>
        <v>13927400</v>
      </c>
      <c r="D63" s="159">
        <f>D58</f>
        <v>15947110</v>
      </c>
      <c r="E63" s="159">
        <f>E58</f>
        <v>21902489.5</v>
      </c>
      <c r="F63" s="158">
        <f t="shared" si="3"/>
        <v>25187862.924999997</v>
      </c>
    </row>
    <row r="64" spans="1:6" ht="12.75">
      <c r="A64" s="47"/>
      <c r="B64" s="56" t="s">
        <v>83</v>
      </c>
      <c r="C64" s="160">
        <v>64000</v>
      </c>
      <c r="D64" s="160">
        <v>43600</v>
      </c>
      <c r="E64" s="160">
        <v>32679.25</v>
      </c>
      <c r="F64" s="158">
        <f t="shared" si="3"/>
        <v>37581.1375</v>
      </c>
    </row>
    <row r="65" spans="1:6" ht="12.75">
      <c r="A65" s="47"/>
      <c r="B65" s="56" t="s">
        <v>169</v>
      </c>
      <c r="C65" s="160">
        <v>202000</v>
      </c>
      <c r="D65" s="160">
        <v>244450</v>
      </c>
      <c r="E65" s="160">
        <v>158084.27</v>
      </c>
      <c r="F65" s="158">
        <f t="shared" si="3"/>
        <v>181796.91049999997</v>
      </c>
    </row>
    <row r="66" spans="1:6" ht="12.75">
      <c r="A66" s="47"/>
      <c r="B66" s="56" t="s">
        <v>170</v>
      </c>
      <c r="C66" s="160">
        <v>0</v>
      </c>
      <c r="D66" s="160">
        <v>0</v>
      </c>
      <c r="E66" s="160">
        <v>0</v>
      </c>
      <c r="F66" s="158">
        <f t="shared" si="3"/>
        <v>0</v>
      </c>
    </row>
    <row r="67" spans="1:6" ht="12.75">
      <c r="A67" s="60"/>
      <c r="B67" s="57"/>
      <c r="C67" s="161">
        <v>0</v>
      </c>
      <c r="D67" s="161">
        <v>0</v>
      </c>
      <c r="E67" s="161">
        <v>0</v>
      </c>
      <c r="F67" s="158">
        <f t="shared" si="3"/>
        <v>0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4"/>
  <dimension ref="A1:I27"/>
  <sheetViews>
    <sheetView zoomScaleSheetLayoutView="90" zoomScalePageLayoutView="0" workbookViewId="0" topLeftCell="A16">
      <selection activeCell="I46" sqref="I46"/>
    </sheetView>
  </sheetViews>
  <sheetFormatPr defaultColWidth="9.140625" defaultRowHeight="12.75"/>
  <cols>
    <col min="1" max="1" width="22.00390625" style="35" customWidth="1"/>
    <col min="2" max="2" width="17.57421875" style="35" customWidth="1"/>
    <col min="3" max="3" width="10.140625" style="35" customWidth="1"/>
    <col min="4" max="4" width="17.7109375" style="35" customWidth="1"/>
    <col min="5" max="5" width="10.421875" style="35" customWidth="1"/>
    <col min="6" max="6" width="18.00390625" style="35" customWidth="1"/>
    <col min="7" max="7" width="10.7109375" style="35" customWidth="1"/>
    <col min="8" max="16384" width="9.140625" style="35" customWidth="1"/>
  </cols>
  <sheetData>
    <row r="1" spans="1:7" ht="15">
      <c r="A1" s="416" t="str">
        <f>Parâmetros!A7</f>
        <v>Município de :CARAÁ</v>
      </c>
      <c r="B1" s="474"/>
      <c r="C1" s="474"/>
      <c r="D1" s="474"/>
      <c r="E1" s="474"/>
      <c r="F1" s="474"/>
      <c r="G1" s="475"/>
    </row>
    <row r="2" spans="1:7" ht="12.75">
      <c r="A2" s="419" t="s">
        <v>42</v>
      </c>
      <c r="B2" s="417"/>
      <c r="C2" s="417"/>
      <c r="D2" s="417"/>
      <c r="E2" s="417"/>
      <c r="F2" s="417"/>
      <c r="G2" s="418"/>
    </row>
    <row r="3" spans="1:7" ht="12.75">
      <c r="A3" s="419" t="s">
        <v>175</v>
      </c>
      <c r="B3" s="417"/>
      <c r="C3" s="417"/>
      <c r="D3" s="417"/>
      <c r="E3" s="417"/>
      <c r="F3" s="417"/>
      <c r="G3" s="418"/>
    </row>
    <row r="4" spans="1:7" ht="12.75">
      <c r="A4" s="420" t="s">
        <v>184</v>
      </c>
      <c r="B4" s="421"/>
      <c r="C4" s="421"/>
      <c r="D4" s="421"/>
      <c r="E4" s="421"/>
      <c r="F4" s="421"/>
      <c r="G4" s="422"/>
    </row>
    <row r="5" spans="1:7" ht="12.75">
      <c r="A5" s="419" t="s">
        <v>404</v>
      </c>
      <c r="B5" s="417"/>
      <c r="C5" s="417"/>
      <c r="D5" s="417"/>
      <c r="E5" s="417"/>
      <c r="F5" s="417"/>
      <c r="G5" s="418"/>
    </row>
    <row r="6" spans="1:7" ht="12.75">
      <c r="A6" s="419"/>
      <c r="B6" s="417"/>
      <c r="C6" s="417"/>
      <c r="D6" s="417"/>
      <c r="E6" s="417"/>
      <c r="F6" s="417"/>
      <c r="G6" s="418"/>
    </row>
    <row r="7" spans="1:7" ht="15">
      <c r="A7" s="477" t="s">
        <v>291</v>
      </c>
      <c r="B7" s="478"/>
      <c r="C7" s="40"/>
      <c r="D7" s="40"/>
      <c r="E7" s="40"/>
      <c r="F7" s="40"/>
      <c r="G7" s="38">
        <v>1</v>
      </c>
    </row>
    <row r="8" spans="1:9" s="37" customFormat="1" ht="25.5" customHeight="1">
      <c r="A8" s="39" t="s">
        <v>127</v>
      </c>
      <c r="B8" s="39">
        <v>2015</v>
      </c>
      <c r="C8" s="39" t="s">
        <v>19</v>
      </c>
      <c r="D8" s="39">
        <f>B8-1</f>
        <v>2014</v>
      </c>
      <c r="E8" s="39" t="s">
        <v>19</v>
      </c>
      <c r="F8" s="39">
        <f>D8-1</f>
        <v>2013</v>
      </c>
      <c r="G8" s="36" t="s">
        <v>19</v>
      </c>
      <c r="I8" s="388"/>
    </row>
    <row r="9" spans="1:7" ht="15">
      <c r="A9" s="207" t="s">
        <v>128</v>
      </c>
      <c r="B9" s="123">
        <f>D12</f>
        <v>27698447.12</v>
      </c>
      <c r="C9" s="256">
        <f>IF(B12=0,"-",(B9/B12))</f>
        <v>0.7827036609036143</v>
      </c>
      <c r="D9" s="123">
        <f>F12</f>
        <v>5775640.22</v>
      </c>
      <c r="E9" s="256">
        <f>IF(D12=0,"-",(D9/D12))</f>
        <v>0.20851855683380996</v>
      </c>
      <c r="F9" s="123"/>
      <c r="G9" s="256">
        <f>IF(F12=0,"-",(F9/F12))</f>
        <v>0</v>
      </c>
    </row>
    <row r="10" spans="1:7" ht="15">
      <c r="A10" s="207" t="s">
        <v>49</v>
      </c>
      <c r="B10" s="257">
        <v>15156601.62</v>
      </c>
      <c r="C10" s="256">
        <f>IF(B12=0,"-",(B10/B12))</f>
        <v>0.4282957641428835</v>
      </c>
      <c r="D10" s="257">
        <v>15156601.62</v>
      </c>
      <c r="E10" s="256">
        <f>IF(D12=0,"-",(D10/D12))</f>
        <v>0.5472004099845724</v>
      </c>
      <c r="F10" s="257"/>
      <c r="G10" s="256">
        <f>IF(F12=0,"-",(F10/F12))</f>
        <v>0</v>
      </c>
    </row>
    <row r="11" spans="1:7" ht="15">
      <c r="A11" s="208" t="s">
        <v>129</v>
      </c>
      <c r="B11" s="258">
        <v>-7466882.69</v>
      </c>
      <c r="C11" s="259">
        <f>IF(B12=0,"-",(B11/B12))</f>
        <v>-0.210999425046498</v>
      </c>
      <c r="D11" s="258">
        <v>6766205.28</v>
      </c>
      <c r="E11" s="259">
        <f>IF(D12=0,"-",(D11/D12))</f>
        <v>0.2442810331816176</v>
      </c>
      <c r="F11" s="258">
        <v>5775640.22</v>
      </c>
      <c r="G11" s="259">
        <f>IF(F12=0,"-",(F11/F12))</f>
        <v>1</v>
      </c>
    </row>
    <row r="12" spans="1:7" ht="15">
      <c r="A12" s="260" t="s">
        <v>130</v>
      </c>
      <c r="B12" s="261">
        <f>SUM(B9:B11)</f>
        <v>35388166.050000004</v>
      </c>
      <c r="C12" s="259">
        <f>IF(B12=0,"-",(B12/B12))</f>
        <v>1</v>
      </c>
      <c r="D12" s="261">
        <f>SUM(D9:D11)</f>
        <v>27698447.12</v>
      </c>
      <c r="E12" s="259">
        <f>IF(D12=0,"-",(D12/D12))</f>
        <v>1</v>
      </c>
      <c r="F12" s="261">
        <f>SUM(F9:F11)</f>
        <v>5775640.22</v>
      </c>
      <c r="G12" s="259">
        <f>IF(F12=0,"-",(F12/F12))</f>
        <v>1</v>
      </c>
    </row>
    <row r="13" spans="1:7" ht="15">
      <c r="A13" s="476"/>
      <c r="B13" s="476"/>
      <c r="C13" s="476"/>
      <c r="D13" s="476"/>
      <c r="E13" s="476"/>
      <c r="F13" s="476"/>
      <c r="G13" s="476"/>
    </row>
    <row r="14" spans="1:7" ht="15.75" customHeight="1">
      <c r="A14" s="472" t="s">
        <v>131</v>
      </c>
      <c r="B14" s="472"/>
      <c r="C14" s="472"/>
      <c r="D14" s="472"/>
      <c r="E14" s="472"/>
      <c r="F14" s="472"/>
      <c r="G14" s="472"/>
    </row>
    <row r="15" spans="1:7" s="37" customFormat="1" ht="25.5" customHeight="1">
      <c r="A15" s="234" t="s">
        <v>127</v>
      </c>
      <c r="B15" s="234">
        <v>2015</v>
      </c>
      <c r="C15" s="234" t="s">
        <v>19</v>
      </c>
      <c r="D15" s="234">
        <f>B15-1</f>
        <v>2014</v>
      </c>
      <c r="E15" s="234" t="s">
        <v>19</v>
      </c>
      <c r="F15" s="234">
        <f>D15-1</f>
        <v>2013</v>
      </c>
      <c r="G15" s="204" t="s">
        <v>19</v>
      </c>
    </row>
    <row r="16" spans="1:7" ht="15">
      <c r="A16" s="207" t="s">
        <v>128</v>
      </c>
      <c r="B16" s="123">
        <f>D19</f>
        <v>16409188.44</v>
      </c>
      <c r="C16" s="256">
        <f>IF(B19=0,"-",(B16/B19))</f>
        <v>0.7968205437453378</v>
      </c>
      <c r="D16" s="123">
        <f>F19</f>
        <v>8204594.22</v>
      </c>
      <c r="E16" s="256">
        <f>IF(D19=0,"-",(D16/D19))</f>
        <v>0.5</v>
      </c>
      <c r="F16" s="123"/>
      <c r="G16" s="256">
        <f>IF(F19=0,"-",(F16/F19))</f>
        <v>0</v>
      </c>
    </row>
    <row r="17" spans="1:7" ht="15">
      <c r="A17" s="207" t="s">
        <v>49</v>
      </c>
      <c r="B17" s="257"/>
      <c r="C17" s="256">
        <f>IF(B19=0,"-",(B17/B19))</f>
        <v>0</v>
      </c>
      <c r="D17" s="257"/>
      <c r="E17" s="256">
        <f>IF(D19=0,"-",(D17/D19))</f>
        <v>0</v>
      </c>
      <c r="F17" s="257"/>
      <c r="G17" s="256">
        <f>IF(F19=0,"-",(F17/F19))</f>
        <v>0</v>
      </c>
    </row>
    <row r="18" spans="1:7" ht="15">
      <c r="A18" s="208" t="s">
        <v>129</v>
      </c>
      <c r="B18" s="258">
        <v>4184141.6</v>
      </c>
      <c r="C18" s="259">
        <f>IF(B19=0,"-",(B18/B19))</f>
        <v>0.20317945625466216</v>
      </c>
      <c r="D18" s="258">
        <v>8204594.22</v>
      </c>
      <c r="E18" s="259">
        <f>IF(D19=0,"-",(D18/D19))</f>
        <v>0.5</v>
      </c>
      <c r="F18" s="258">
        <v>8204594.22</v>
      </c>
      <c r="G18" s="259">
        <f>IF(F19=0,"-",(F18/F19))</f>
        <v>1</v>
      </c>
    </row>
    <row r="19" spans="1:7" ht="15">
      <c r="A19" s="260" t="s">
        <v>130</v>
      </c>
      <c r="B19" s="261">
        <f>SUM(B16:B18)</f>
        <v>20593330.04</v>
      </c>
      <c r="C19" s="259">
        <f>IF(B19=0,"-",(B19/B19))</f>
        <v>1</v>
      </c>
      <c r="D19" s="261">
        <f>SUM(D16:D18)</f>
        <v>16409188.44</v>
      </c>
      <c r="E19" s="259">
        <f>IF(D19=0,"-",(D19/D19))</f>
        <v>1</v>
      </c>
      <c r="F19" s="261">
        <f>SUM(F16:F18)</f>
        <v>8204594.22</v>
      </c>
      <c r="G19" s="259">
        <f>IF(F19=0,"-",(F19/F19))</f>
        <v>1</v>
      </c>
    </row>
    <row r="20" spans="1:7" ht="12.75">
      <c r="A20" s="473"/>
      <c r="B20" s="473"/>
      <c r="C20" s="473"/>
      <c r="D20" s="473"/>
      <c r="E20" s="473"/>
      <c r="F20" s="473"/>
      <c r="G20" s="473"/>
    </row>
    <row r="21" spans="1:7" ht="15.75" customHeight="1">
      <c r="A21" s="472" t="s">
        <v>344</v>
      </c>
      <c r="B21" s="472"/>
      <c r="C21" s="472"/>
      <c r="D21" s="472"/>
      <c r="E21" s="472"/>
      <c r="F21" s="472"/>
      <c r="G21" s="472"/>
    </row>
    <row r="22" spans="1:7" s="37" customFormat="1" ht="25.5" customHeight="1">
      <c r="A22" s="234" t="s">
        <v>127</v>
      </c>
      <c r="B22" s="234">
        <v>2015</v>
      </c>
      <c r="C22" s="234" t="s">
        <v>19</v>
      </c>
      <c r="D22" s="234">
        <f>B22-1</f>
        <v>2014</v>
      </c>
      <c r="E22" s="234" t="s">
        <v>19</v>
      </c>
      <c r="F22" s="234">
        <f>D22-1</f>
        <v>2013</v>
      </c>
      <c r="G22" s="204" t="s">
        <v>19</v>
      </c>
    </row>
    <row r="23" spans="1:7" ht="15">
      <c r="A23" s="207" t="s">
        <v>128</v>
      </c>
      <c r="B23" s="123">
        <f>B9+B16</f>
        <v>44107635.56</v>
      </c>
      <c r="C23" s="256">
        <f>IF(B26=0,"-",(B23/B26))</f>
        <v>0.7878966915976897</v>
      </c>
      <c r="D23" s="123">
        <f>D9+D16</f>
        <v>13980234.44</v>
      </c>
      <c r="E23" s="256">
        <f>IF(D26=0,"-",(D23/D26))</f>
        <v>0.3169572402261863</v>
      </c>
      <c r="F23" s="123">
        <f>F9+F16</f>
        <v>0</v>
      </c>
      <c r="G23" s="256">
        <f>IF(F26=0,"-",(F23/F26))</f>
        <v>0</v>
      </c>
    </row>
    <row r="24" spans="1:7" ht="15">
      <c r="A24" s="207" t="s">
        <v>49</v>
      </c>
      <c r="B24" s="257">
        <f>B10+B17</f>
        <v>15156601.62</v>
      </c>
      <c r="C24" s="256">
        <f>IF(B26=0,"-",(B24/B26))</f>
        <v>0.270743061164945</v>
      </c>
      <c r="D24" s="257">
        <f>D10+D17</f>
        <v>15156601.62</v>
      </c>
      <c r="E24" s="256">
        <f>IF(D26=0,"-",(D24/D26))</f>
        <v>0.3436276152092157</v>
      </c>
      <c r="F24" s="257">
        <f>F10+F17</f>
        <v>0</v>
      </c>
      <c r="G24" s="256">
        <f>IF(F26=0,"-",(F24/F26))</f>
        <v>0</v>
      </c>
    </row>
    <row r="25" spans="1:7" ht="15">
      <c r="A25" s="208" t="s">
        <v>129</v>
      </c>
      <c r="B25" s="258">
        <f>B11+B18</f>
        <v>-3282741.0900000003</v>
      </c>
      <c r="C25" s="259">
        <f>IF(B26=0,"-",(B25/B26))</f>
        <v>-0.05863975276263469</v>
      </c>
      <c r="D25" s="258">
        <f>D11+D18</f>
        <v>14970799.5</v>
      </c>
      <c r="E25" s="259">
        <f>IF(D26=0,"-",(D25/D26))</f>
        <v>0.3394151445645979</v>
      </c>
      <c r="F25" s="258">
        <f>F11+F18</f>
        <v>13980234.44</v>
      </c>
      <c r="G25" s="259">
        <f>IF(F26=0,"-",(F25/F26))</f>
        <v>1</v>
      </c>
    </row>
    <row r="26" spans="1:7" ht="15">
      <c r="A26" s="260" t="s">
        <v>130</v>
      </c>
      <c r="B26" s="261">
        <f>SUM(B23:B25)</f>
        <v>55981496.089999996</v>
      </c>
      <c r="C26" s="259">
        <f>IF(B26=0,"-",(B26/B26))</f>
        <v>1</v>
      </c>
      <c r="D26" s="261">
        <f>SUM(D23:D25)</f>
        <v>44107635.56</v>
      </c>
      <c r="E26" s="259">
        <f>IF(D26=0,"-",(D26/D26))</f>
        <v>1</v>
      </c>
      <c r="F26" s="261">
        <f>SUM(F23:F25)</f>
        <v>13980234.44</v>
      </c>
      <c r="G26" s="259">
        <f>IF(F26=0,"-",(F26/F26))</f>
        <v>1</v>
      </c>
    </row>
    <row r="27" spans="1:7" ht="12.75">
      <c r="A27" s="470" t="s">
        <v>393</v>
      </c>
      <c r="B27" s="471"/>
      <c r="C27" s="471"/>
      <c r="D27" s="471"/>
      <c r="E27" s="471"/>
      <c r="F27" s="471"/>
      <c r="G27" s="471"/>
    </row>
  </sheetData>
  <sheetProtection/>
  <mergeCells count="12">
    <mergeCell ref="A1:G1"/>
    <mergeCell ref="A2:G2"/>
    <mergeCell ref="A13:G13"/>
    <mergeCell ref="A14:G14"/>
    <mergeCell ref="A7:B7"/>
    <mergeCell ref="A3:G3"/>
    <mergeCell ref="A4:G4"/>
    <mergeCell ref="A5:G5"/>
    <mergeCell ref="A27:G27"/>
    <mergeCell ref="A6:G6"/>
    <mergeCell ref="A21:G21"/>
    <mergeCell ref="A20:G20"/>
  </mergeCells>
  <printOptions/>
  <pageMargins left="0.787401575" right="0.787401575" top="0.984251969" bottom="0.984251969" header="0.492125985" footer="0.492125985"/>
  <pageSetup horizontalDpi="300" verticalDpi="300" orientation="portrait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5"/>
  <dimension ref="A1:D30"/>
  <sheetViews>
    <sheetView zoomScale="90" zoomScaleNormal="90" zoomScaleSheetLayoutView="90" zoomScalePageLayoutView="0" workbookViewId="0" topLeftCell="A2">
      <selection activeCell="A2" sqref="A2:D2"/>
    </sheetView>
  </sheetViews>
  <sheetFormatPr defaultColWidth="9.140625" defaultRowHeight="12.75"/>
  <cols>
    <col min="1" max="1" width="58.421875" style="41" customWidth="1"/>
    <col min="2" max="3" width="14.7109375" style="41" customWidth="1"/>
    <col min="4" max="4" width="15.7109375" style="41" customWidth="1"/>
    <col min="5" max="16384" width="9.140625" style="41" customWidth="1"/>
  </cols>
  <sheetData>
    <row r="1" spans="1:4" ht="14.25">
      <c r="A1" s="479" t="str">
        <f>Parâmetros!A7</f>
        <v>Município de :CARAÁ</v>
      </c>
      <c r="B1" s="480"/>
      <c r="C1" s="480"/>
      <c r="D1" s="481"/>
    </row>
    <row r="2" spans="1:4" ht="14.25">
      <c r="A2" s="482" t="s">
        <v>42</v>
      </c>
      <c r="B2" s="480"/>
      <c r="C2" s="480"/>
      <c r="D2" s="481"/>
    </row>
    <row r="3" spans="1:4" ht="14.25">
      <c r="A3" s="482" t="s">
        <v>175</v>
      </c>
      <c r="B3" s="480"/>
      <c r="C3" s="480"/>
      <c r="D3" s="481"/>
    </row>
    <row r="4" spans="1:4" ht="15">
      <c r="A4" s="483" t="s">
        <v>185</v>
      </c>
      <c r="B4" s="484"/>
      <c r="C4" s="484"/>
      <c r="D4" s="485"/>
    </row>
    <row r="5" spans="1:4" ht="14.25">
      <c r="A5" s="482" t="s">
        <v>405</v>
      </c>
      <c r="B5" s="480"/>
      <c r="C5" s="480"/>
      <c r="D5" s="481"/>
    </row>
    <row r="6" spans="1:4" ht="14.25">
      <c r="A6" s="482"/>
      <c r="B6" s="480"/>
      <c r="C6" s="480"/>
      <c r="D6" s="481"/>
    </row>
    <row r="7" spans="1:4" ht="14.25">
      <c r="A7" s="174" t="s">
        <v>292</v>
      </c>
      <c r="B7" s="218"/>
      <c r="C7" s="218"/>
      <c r="D7" s="219">
        <v>1</v>
      </c>
    </row>
    <row r="8" spans="1:4" s="42" customFormat="1" ht="25.5" customHeight="1">
      <c r="A8" s="220" t="s">
        <v>132</v>
      </c>
      <c r="B8" s="220">
        <v>2015</v>
      </c>
      <c r="C8" s="220">
        <f>B8-1</f>
        <v>2014</v>
      </c>
      <c r="D8" s="221">
        <f>C8-1</f>
        <v>2013</v>
      </c>
    </row>
    <row r="9" spans="1:4" s="42" customFormat="1" ht="25.5" customHeight="1">
      <c r="A9" s="222" t="s">
        <v>406</v>
      </c>
      <c r="B9" s="223"/>
      <c r="C9" s="223"/>
      <c r="D9" s="224"/>
    </row>
    <row r="10" spans="1:4" ht="12.75" customHeight="1">
      <c r="A10" s="225" t="s">
        <v>68</v>
      </c>
      <c r="B10" s="226">
        <f>B11</f>
        <v>0</v>
      </c>
      <c r="C10" s="226">
        <f>C11</f>
        <v>0</v>
      </c>
      <c r="D10" s="226">
        <f>D11</f>
        <v>0</v>
      </c>
    </row>
    <row r="11" spans="1:4" ht="12.75" customHeight="1">
      <c r="A11" s="225" t="s">
        <v>133</v>
      </c>
      <c r="B11" s="226">
        <f>B12+B13</f>
        <v>0</v>
      </c>
      <c r="C11" s="226">
        <f>C12+C13</f>
        <v>0</v>
      </c>
      <c r="D11" s="226">
        <f>D12+D13</f>
        <v>0</v>
      </c>
    </row>
    <row r="12" spans="1:4" ht="12.75" customHeight="1">
      <c r="A12" s="225" t="s">
        <v>134</v>
      </c>
      <c r="B12" s="156"/>
      <c r="C12" s="156"/>
      <c r="D12" s="156"/>
    </row>
    <row r="13" spans="1:4" ht="12.75" customHeight="1">
      <c r="A13" s="227" t="s">
        <v>135</v>
      </c>
      <c r="B13" s="157"/>
      <c r="C13" s="157"/>
      <c r="D13" s="157"/>
    </row>
    <row r="14" spans="1:4" ht="12.75" customHeight="1">
      <c r="A14" s="227" t="s">
        <v>216</v>
      </c>
      <c r="B14" s="157"/>
      <c r="C14" s="157"/>
      <c r="D14" s="157"/>
    </row>
    <row r="15" spans="1:4" ht="14.25">
      <c r="A15" s="227" t="s">
        <v>136</v>
      </c>
      <c r="B15" s="228">
        <f>B12+B13+B14</f>
        <v>0</v>
      </c>
      <c r="C15" s="228">
        <f>C12+C13+C14</f>
        <v>0</v>
      </c>
      <c r="D15" s="228">
        <f>D9+D12+D13+D14</f>
        <v>0</v>
      </c>
    </row>
    <row r="16" spans="1:4" ht="14.25">
      <c r="A16" s="486"/>
      <c r="B16" s="486"/>
      <c r="C16" s="486"/>
      <c r="D16" s="486"/>
    </row>
    <row r="17" spans="1:4" s="42" customFormat="1" ht="14.25">
      <c r="A17" s="489" t="s">
        <v>285</v>
      </c>
      <c r="B17" s="491">
        <v>2015</v>
      </c>
      <c r="C17" s="491">
        <f>B17-1</f>
        <v>2014</v>
      </c>
      <c r="D17" s="493">
        <f>C17-1</f>
        <v>2013</v>
      </c>
    </row>
    <row r="18" spans="1:4" s="42" customFormat="1" ht="14.25">
      <c r="A18" s="490"/>
      <c r="B18" s="492"/>
      <c r="C18" s="492"/>
      <c r="D18" s="494"/>
    </row>
    <row r="19" spans="1:4" ht="28.5">
      <c r="A19" s="225" t="s">
        <v>137</v>
      </c>
      <c r="B19" s="229"/>
      <c r="C19" s="229"/>
      <c r="D19" s="230"/>
    </row>
    <row r="20" spans="1:4" ht="14.25">
      <c r="A20" s="225" t="s">
        <v>138</v>
      </c>
      <c r="B20" s="226">
        <f>B21+B22+B23</f>
        <v>0</v>
      </c>
      <c r="C20" s="226">
        <f>C21+C22+C23</f>
        <v>0</v>
      </c>
      <c r="D20" s="226">
        <f>D21+D22+D23</f>
        <v>0</v>
      </c>
    </row>
    <row r="21" spans="1:4" ht="14.25">
      <c r="A21" s="225" t="s">
        <v>139</v>
      </c>
      <c r="B21" s="156"/>
      <c r="C21" s="156"/>
      <c r="D21" s="231"/>
    </row>
    <row r="22" spans="1:4" ht="14.25">
      <c r="A22" s="225" t="s">
        <v>140</v>
      </c>
      <c r="B22" s="156"/>
      <c r="C22" s="156"/>
      <c r="D22" s="231"/>
    </row>
    <row r="23" spans="1:4" ht="14.25">
      <c r="A23" s="225" t="s">
        <v>141</v>
      </c>
      <c r="B23" s="156"/>
      <c r="C23" s="156"/>
      <c r="D23" s="231"/>
    </row>
    <row r="24" spans="1:4" ht="14.25">
      <c r="A24" s="225" t="s">
        <v>142</v>
      </c>
      <c r="B24" s="226">
        <f>B25+B26</f>
        <v>0</v>
      </c>
      <c r="C24" s="226">
        <f>C25+C26</f>
        <v>0</v>
      </c>
      <c r="D24" s="226">
        <f>D25+D26</f>
        <v>0</v>
      </c>
    </row>
    <row r="25" spans="1:4" ht="14.25">
      <c r="A25" s="225" t="s">
        <v>143</v>
      </c>
      <c r="B25" s="156"/>
      <c r="C25" s="156"/>
      <c r="D25" s="231"/>
    </row>
    <row r="26" spans="1:4" ht="14.25">
      <c r="A26" s="227" t="s">
        <v>144</v>
      </c>
      <c r="B26" s="157"/>
      <c r="C26" s="157"/>
      <c r="D26" s="232"/>
    </row>
    <row r="27" spans="1:4" ht="14.25">
      <c r="A27" s="227" t="s">
        <v>136</v>
      </c>
      <c r="B27" s="228">
        <f>B20+B24</f>
        <v>0</v>
      </c>
      <c r="C27" s="228">
        <f>C20+C24</f>
        <v>0</v>
      </c>
      <c r="D27" s="228">
        <f>D20+D24</f>
        <v>0</v>
      </c>
    </row>
    <row r="28" spans="1:4" ht="14.25">
      <c r="A28" s="487" t="s">
        <v>145</v>
      </c>
      <c r="B28" s="157"/>
      <c r="C28" s="157"/>
      <c r="D28" s="232"/>
    </row>
    <row r="29" spans="1:4" ht="14.25">
      <c r="A29" s="488"/>
      <c r="B29" s="228">
        <f>C29+B15-B27</f>
        <v>0</v>
      </c>
      <c r="C29" s="228">
        <f>D29+C15-C27</f>
        <v>0</v>
      </c>
      <c r="D29" s="233">
        <f>D15-D27</f>
        <v>0</v>
      </c>
    </row>
    <row r="30" spans="1:4" ht="14.25">
      <c r="A30" s="412" t="s">
        <v>393</v>
      </c>
      <c r="B30" s="412"/>
      <c r="C30" s="412"/>
      <c r="D30" s="412"/>
    </row>
  </sheetData>
  <sheetProtection/>
  <mergeCells count="13">
    <mergeCell ref="A16:D16"/>
    <mergeCell ref="A28:A29"/>
    <mergeCell ref="A30:D30"/>
    <mergeCell ref="A17:A18"/>
    <mergeCell ref="B17:B18"/>
    <mergeCell ref="C17:C18"/>
    <mergeCell ref="D17:D18"/>
    <mergeCell ref="A1:D1"/>
    <mergeCell ref="A2:D2"/>
    <mergeCell ref="A3:D3"/>
    <mergeCell ref="A4:D4"/>
    <mergeCell ref="A5:D5"/>
    <mergeCell ref="A6:D6"/>
  </mergeCells>
  <printOptions/>
  <pageMargins left="0.787401575" right="0.787401575" top="0.984251969" bottom="0.984251969" header="0.492125985" footer="0.492125985"/>
  <pageSetup horizontalDpi="300" verticalDpi="300" orientation="portrait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43">
      <selection activeCell="F94" sqref="F94"/>
    </sheetView>
  </sheetViews>
  <sheetFormatPr defaultColWidth="9.140625" defaultRowHeight="11.25" customHeight="1"/>
  <cols>
    <col min="1" max="3" width="12.8515625" style="124" customWidth="1"/>
    <col min="4" max="4" width="24.00390625" style="124" customWidth="1"/>
    <col min="5" max="6" width="12.8515625" style="124" customWidth="1"/>
    <col min="7" max="7" width="13.00390625" style="124" customWidth="1"/>
    <col min="8" max="8" width="12.8515625" style="124" customWidth="1"/>
    <col min="9" max="16384" width="9.140625" style="124" customWidth="1"/>
  </cols>
  <sheetData>
    <row r="1" spans="1:7" ht="11.25" customHeight="1">
      <c r="A1" s="517" t="str">
        <f>Parâmetros!A7</f>
        <v>Município de :CARAÁ</v>
      </c>
      <c r="B1" s="518"/>
      <c r="C1" s="518"/>
      <c r="D1" s="518"/>
      <c r="E1" s="518"/>
      <c r="F1" s="518"/>
      <c r="G1" s="518"/>
    </row>
    <row r="2" spans="1:7" ht="11.25" customHeight="1">
      <c r="A2" s="518" t="s">
        <v>42</v>
      </c>
      <c r="B2" s="518"/>
      <c r="C2" s="518"/>
      <c r="D2" s="518"/>
      <c r="E2" s="518"/>
      <c r="F2" s="518"/>
      <c r="G2" s="518"/>
    </row>
    <row r="3" spans="1:7" ht="11.25" customHeight="1">
      <c r="A3" s="518" t="s">
        <v>245</v>
      </c>
      <c r="B3" s="518"/>
      <c r="C3" s="518"/>
      <c r="D3" s="518"/>
      <c r="E3" s="518"/>
      <c r="F3" s="518"/>
      <c r="G3" s="518"/>
    </row>
    <row r="4" spans="1:7" ht="11.25" customHeight="1">
      <c r="A4" s="519" t="s">
        <v>312</v>
      </c>
      <c r="B4" s="519"/>
      <c r="C4" s="519"/>
      <c r="D4" s="519"/>
      <c r="E4" s="519"/>
      <c r="F4" s="519"/>
      <c r="G4" s="519"/>
    </row>
    <row r="5" spans="1:7" ht="11.25" customHeight="1">
      <c r="A5" s="518" t="s">
        <v>401</v>
      </c>
      <c r="B5" s="518"/>
      <c r="C5" s="518"/>
      <c r="D5" s="518"/>
      <c r="E5" s="518"/>
      <c r="F5" s="518"/>
      <c r="G5" s="518"/>
    </row>
    <row r="6" spans="1:7" ht="11.25" customHeight="1">
      <c r="A6" s="520"/>
      <c r="B6" s="520"/>
      <c r="C6" s="520"/>
      <c r="D6" s="520"/>
      <c r="E6" s="520"/>
      <c r="F6" s="520"/>
      <c r="G6" s="521"/>
    </row>
    <row r="7" spans="1:7" s="127" customFormat="1" ht="11.25" customHeight="1">
      <c r="A7" s="495" t="s">
        <v>313</v>
      </c>
      <c r="B7" s="495"/>
      <c r="C7" s="495"/>
      <c r="D7" s="496"/>
      <c r="E7" s="125"/>
      <c r="F7" s="125"/>
      <c r="G7" s="126">
        <v>1</v>
      </c>
    </row>
    <row r="8" spans="1:7" s="127" customFormat="1" ht="11.25" customHeight="1">
      <c r="A8" s="499" t="s">
        <v>314</v>
      </c>
      <c r="B8" s="500"/>
      <c r="C8" s="500"/>
      <c r="D8" s="501"/>
      <c r="E8" s="513">
        <v>2014</v>
      </c>
      <c r="F8" s="513">
        <f>E8+1</f>
        <v>2015</v>
      </c>
      <c r="G8" s="513">
        <f>F8+1</f>
        <v>2016</v>
      </c>
    </row>
    <row r="9" spans="1:7" ht="11.25" customHeight="1">
      <c r="A9" s="502"/>
      <c r="B9" s="502"/>
      <c r="C9" s="502"/>
      <c r="D9" s="503"/>
      <c r="E9" s="514"/>
      <c r="F9" s="514"/>
      <c r="G9" s="514"/>
    </row>
    <row r="10" spans="1:7" ht="11.25" customHeight="1">
      <c r="A10" s="279" t="s">
        <v>315</v>
      </c>
      <c r="B10" s="280"/>
      <c r="C10" s="280"/>
      <c r="D10" s="281"/>
      <c r="E10" s="284">
        <f>E11+E21+E25</f>
        <v>901941.99</v>
      </c>
      <c r="F10" s="284">
        <f>F11+F21+F25</f>
        <v>1546422.1</v>
      </c>
      <c r="G10" s="284">
        <f>G11+G21+G25</f>
        <v>2014010.52</v>
      </c>
    </row>
    <row r="11" spans="1:7" ht="11.25" customHeight="1">
      <c r="A11" s="522" t="s">
        <v>246</v>
      </c>
      <c r="B11" s="522"/>
      <c r="C11" s="522"/>
      <c r="D11" s="523"/>
      <c r="E11" s="285">
        <f>E12+E15+E16+E17+E18</f>
        <v>901941.99</v>
      </c>
      <c r="F11" s="285">
        <f>F12+F15+F16+F17+F18</f>
        <v>1546422.1</v>
      </c>
      <c r="G11" s="285">
        <f>G12+G15+G16+G17+G18</f>
        <v>2014010.52</v>
      </c>
    </row>
    <row r="12" spans="1:7" ht="11.25" customHeight="1">
      <c r="A12" s="497" t="s">
        <v>316</v>
      </c>
      <c r="B12" s="497"/>
      <c r="C12" s="497"/>
      <c r="D12" s="498"/>
      <c r="E12" s="286">
        <f>E13+E14</f>
        <v>425991.22</v>
      </c>
      <c r="F12" s="286">
        <f>F13+F14</f>
        <v>532873.7</v>
      </c>
      <c r="G12" s="286">
        <f>G13+G14</f>
        <v>625698.53</v>
      </c>
    </row>
    <row r="13" spans="1:7" ht="11.25" customHeight="1">
      <c r="A13" s="497" t="s">
        <v>248</v>
      </c>
      <c r="B13" s="497"/>
      <c r="C13" s="497"/>
      <c r="D13" s="498"/>
      <c r="E13" s="286">
        <v>425991.22</v>
      </c>
      <c r="F13" s="286">
        <v>532873.7</v>
      </c>
      <c r="G13" s="286">
        <v>625698.53</v>
      </c>
    </row>
    <row r="14" spans="1:7" ht="11.25" customHeight="1">
      <c r="A14" s="497" t="s">
        <v>249</v>
      </c>
      <c r="B14" s="497"/>
      <c r="C14" s="497"/>
      <c r="D14" s="498"/>
      <c r="E14" s="286"/>
      <c r="F14" s="286"/>
      <c r="G14" s="286"/>
    </row>
    <row r="15" spans="1:7" ht="11.25" customHeight="1">
      <c r="A15" s="128" t="s">
        <v>317</v>
      </c>
      <c r="B15" s="129"/>
      <c r="C15" s="129"/>
      <c r="D15" s="130"/>
      <c r="E15" s="286"/>
      <c r="F15" s="286"/>
      <c r="G15" s="286"/>
    </row>
    <row r="16" spans="1:7" ht="11.25" customHeight="1">
      <c r="A16" s="497" t="s">
        <v>250</v>
      </c>
      <c r="B16" s="497"/>
      <c r="C16" s="497"/>
      <c r="D16" s="498"/>
      <c r="E16" s="286">
        <v>475950.77</v>
      </c>
      <c r="F16" s="286">
        <v>1013548.4</v>
      </c>
      <c r="G16" s="286">
        <v>1388311.99</v>
      </c>
    </row>
    <row r="17" spans="1:7" ht="11.25" customHeight="1">
      <c r="A17" s="497" t="s">
        <v>251</v>
      </c>
      <c r="B17" s="497"/>
      <c r="C17" s="497"/>
      <c r="D17" s="498"/>
      <c r="E17" s="286"/>
      <c r="F17" s="286"/>
      <c r="G17" s="286"/>
    </row>
    <row r="18" spans="1:7" ht="11.25" customHeight="1">
      <c r="A18" s="497" t="s">
        <v>252</v>
      </c>
      <c r="B18" s="497"/>
      <c r="C18" s="497"/>
      <c r="D18" s="498"/>
      <c r="E18" s="286">
        <f>E19+E20</f>
        <v>0</v>
      </c>
      <c r="F18" s="286">
        <f>F19+F20</f>
        <v>0</v>
      </c>
      <c r="G18" s="286">
        <f>G19+G20</f>
        <v>0</v>
      </c>
    </row>
    <row r="19" spans="1:7" ht="11.25" customHeight="1">
      <c r="A19" s="524" t="s">
        <v>253</v>
      </c>
      <c r="B19" s="525"/>
      <c r="C19" s="525"/>
      <c r="D19" s="526"/>
      <c r="E19" s="286"/>
      <c r="F19" s="286"/>
      <c r="G19" s="286"/>
    </row>
    <row r="20" spans="1:7" ht="11.25" customHeight="1">
      <c r="A20" s="497" t="s">
        <v>254</v>
      </c>
      <c r="B20" s="497"/>
      <c r="C20" s="497"/>
      <c r="D20" s="498"/>
      <c r="E20" s="286"/>
      <c r="F20" s="286"/>
      <c r="G20" s="286"/>
    </row>
    <row r="21" spans="1:7" ht="11.25" customHeight="1">
      <c r="A21" s="522" t="s">
        <v>255</v>
      </c>
      <c r="B21" s="522"/>
      <c r="C21" s="522"/>
      <c r="D21" s="523"/>
      <c r="E21" s="285">
        <f>E22+E23+E24</f>
        <v>0</v>
      </c>
      <c r="F21" s="285">
        <f>F22+F23+F24</f>
        <v>0</v>
      </c>
      <c r="G21" s="285">
        <f>G22+G23+G24</f>
        <v>0</v>
      </c>
    </row>
    <row r="22" spans="1:7" ht="11.25" customHeight="1">
      <c r="A22" s="497" t="s">
        <v>318</v>
      </c>
      <c r="B22" s="497"/>
      <c r="C22" s="497"/>
      <c r="D22" s="498"/>
      <c r="E22" s="286"/>
      <c r="F22" s="286"/>
      <c r="G22" s="286"/>
    </row>
    <row r="23" spans="1:7" ht="11.25" customHeight="1">
      <c r="A23" s="128" t="s">
        <v>256</v>
      </c>
      <c r="B23" s="129"/>
      <c r="C23" s="129"/>
      <c r="D23" s="130"/>
      <c r="E23" s="286"/>
      <c r="F23" s="286"/>
      <c r="G23" s="286"/>
    </row>
    <row r="24" spans="1:7" ht="11.25" customHeight="1">
      <c r="A24" s="497" t="s">
        <v>257</v>
      </c>
      <c r="B24" s="497"/>
      <c r="C24" s="497"/>
      <c r="D24" s="498"/>
      <c r="E24" s="286"/>
      <c r="F24" s="286"/>
      <c r="G24" s="286"/>
    </row>
    <row r="25" spans="1:7" ht="11.25" customHeight="1">
      <c r="A25" s="279" t="s">
        <v>319</v>
      </c>
      <c r="B25" s="282"/>
      <c r="C25" s="282"/>
      <c r="D25" s="283"/>
      <c r="E25" s="285"/>
      <c r="F25" s="285"/>
      <c r="G25" s="285"/>
    </row>
    <row r="26" spans="1:7" ht="11.25" customHeight="1">
      <c r="A26" s="279" t="s">
        <v>320</v>
      </c>
      <c r="B26" s="282"/>
      <c r="C26" s="282"/>
      <c r="D26" s="283"/>
      <c r="E26" s="285">
        <f>E27+E37+E38</f>
        <v>753001.61</v>
      </c>
      <c r="F26" s="285">
        <f>F27+F37+F38</f>
        <v>913561.42</v>
      </c>
      <c r="G26" s="285">
        <f>G27+G37+G38</f>
        <v>308123.44999999995</v>
      </c>
    </row>
    <row r="27" spans="1:7" ht="11.25" customHeight="1">
      <c r="A27" s="522" t="s">
        <v>246</v>
      </c>
      <c r="B27" s="522"/>
      <c r="C27" s="522"/>
      <c r="D27" s="523"/>
      <c r="E27" s="285">
        <f>E28+E34+E35+E36</f>
        <v>753001.61</v>
      </c>
      <c r="F27" s="285">
        <f>F28+F34+F35+F36</f>
        <v>913561.42</v>
      </c>
      <c r="G27" s="285">
        <f>G28+G34+G35+G36</f>
        <v>1170479.99</v>
      </c>
    </row>
    <row r="28" spans="1:7" ht="11.25" customHeight="1">
      <c r="A28" s="497" t="s">
        <v>247</v>
      </c>
      <c r="B28" s="497"/>
      <c r="C28" s="497"/>
      <c r="D28" s="498"/>
      <c r="E28" s="286">
        <f>E29+E32+E33</f>
        <v>753001.61</v>
      </c>
      <c r="F28" s="286">
        <f>F29+F32+F33</f>
        <v>913561.42</v>
      </c>
      <c r="G28" s="286">
        <f>G29+G32+G33</f>
        <v>1170479.99</v>
      </c>
    </row>
    <row r="29" spans="1:7" ht="11.25" customHeight="1">
      <c r="A29" s="129" t="s">
        <v>321</v>
      </c>
      <c r="B29" s="129"/>
      <c r="C29" s="129"/>
      <c r="D29" s="130"/>
      <c r="E29" s="286">
        <f>E30+E31</f>
        <v>753001.61</v>
      </c>
      <c r="F29" s="286">
        <f>F30+F31</f>
        <v>913561.42</v>
      </c>
      <c r="G29" s="286">
        <f>G30+G31</f>
        <v>1170479.99</v>
      </c>
    </row>
    <row r="30" spans="1:7" ht="11.25" customHeight="1">
      <c r="A30" s="497" t="s">
        <v>322</v>
      </c>
      <c r="B30" s="497"/>
      <c r="C30" s="497"/>
      <c r="D30" s="498"/>
      <c r="E30" s="286">
        <v>753001.61</v>
      </c>
      <c r="F30" s="286">
        <v>913561.42</v>
      </c>
      <c r="G30" s="286">
        <v>1170479.99</v>
      </c>
    </row>
    <row r="31" spans="1:7" ht="11.25" customHeight="1">
      <c r="A31" s="497" t="s">
        <v>323</v>
      </c>
      <c r="B31" s="497"/>
      <c r="C31" s="497"/>
      <c r="D31" s="498"/>
      <c r="E31" s="286"/>
      <c r="F31" s="286"/>
      <c r="G31" s="286"/>
    </row>
    <row r="32" spans="1:7" ht="11.25" customHeight="1">
      <c r="A32" s="497" t="s">
        <v>324</v>
      </c>
      <c r="B32" s="497"/>
      <c r="C32" s="497"/>
      <c r="D32" s="498"/>
      <c r="E32" s="286"/>
      <c r="F32" s="286"/>
      <c r="G32" s="286"/>
    </row>
    <row r="33" spans="1:7" ht="11.25" customHeight="1">
      <c r="A33" s="497" t="s">
        <v>325</v>
      </c>
      <c r="B33" s="497"/>
      <c r="C33" s="497"/>
      <c r="D33" s="498"/>
      <c r="E33" s="286"/>
      <c r="F33" s="286"/>
      <c r="G33" s="286"/>
    </row>
    <row r="34" spans="1:7" ht="11.25" customHeight="1">
      <c r="A34" s="497" t="s">
        <v>250</v>
      </c>
      <c r="B34" s="497"/>
      <c r="C34" s="497"/>
      <c r="D34" s="498"/>
      <c r="E34" s="286"/>
      <c r="F34" s="286"/>
      <c r="G34" s="286"/>
    </row>
    <row r="35" spans="1:7" ht="11.25" customHeight="1">
      <c r="A35" s="128" t="s">
        <v>251</v>
      </c>
      <c r="B35" s="129"/>
      <c r="C35" s="129"/>
      <c r="D35" s="130"/>
      <c r="E35" s="286"/>
      <c r="F35" s="286"/>
      <c r="G35" s="286"/>
    </row>
    <row r="36" spans="1:7" ht="11.25" customHeight="1">
      <c r="A36" s="497" t="s">
        <v>252</v>
      </c>
      <c r="B36" s="497"/>
      <c r="C36" s="497"/>
      <c r="D36" s="498"/>
      <c r="E36" s="286"/>
      <c r="F36" s="286"/>
      <c r="G36" s="286"/>
    </row>
    <row r="37" spans="1:7" ht="11.25" customHeight="1">
      <c r="A37" s="522" t="s">
        <v>255</v>
      </c>
      <c r="B37" s="522"/>
      <c r="C37" s="522"/>
      <c r="D37" s="523"/>
      <c r="E37" s="285"/>
      <c r="F37" s="285"/>
      <c r="G37" s="285"/>
    </row>
    <row r="38" spans="1:7" ht="11.25" customHeight="1">
      <c r="A38" s="522" t="s">
        <v>319</v>
      </c>
      <c r="B38" s="522"/>
      <c r="C38" s="522"/>
      <c r="D38" s="523"/>
      <c r="E38" s="285"/>
      <c r="F38" s="285"/>
      <c r="G38" s="285">
        <v>-862356.54</v>
      </c>
    </row>
    <row r="39" spans="1:7" ht="11.25" customHeight="1">
      <c r="A39" s="527" t="s">
        <v>326</v>
      </c>
      <c r="B39" s="527"/>
      <c r="C39" s="527"/>
      <c r="D39" s="528"/>
      <c r="E39" s="287">
        <f>E10+E26</f>
        <v>1654943.6</v>
      </c>
      <c r="F39" s="287">
        <f>F10+F26</f>
        <v>2459983.52</v>
      </c>
      <c r="G39" s="287">
        <f>G10+G26</f>
        <v>2322133.9699999997</v>
      </c>
    </row>
    <row r="40" spans="1:7" s="127" customFormat="1" ht="11.25" customHeight="1">
      <c r="A40" s="272"/>
      <c r="B40" s="272"/>
      <c r="C40" s="272"/>
      <c r="D40" s="272"/>
      <c r="E40" s="273"/>
      <c r="F40" s="273"/>
      <c r="G40" s="273"/>
    </row>
    <row r="41" spans="1:7" s="127" customFormat="1" ht="11.25" customHeight="1">
      <c r="A41" s="529" t="s">
        <v>327</v>
      </c>
      <c r="B41" s="530"/>
      <c r="C41" s="530"/>
      <c r="D41" s="531"/>
      <c r="E41" s="513">
        <v>2014</v>
      </c>
      <c r="F41" s="513">
        <f>E41+1</f>
        <v>2015</v>
      </c>
      <c r="G41" s="513">
        <f>F41+1</f>
        <v>2016</v>
      </c>
    </row>
    <row r="42" spans="1:7" ht="11.25" customHeight="1">
      <c r="A42" s="502"/>
      <c r="B42" s="502"/>
      <c r="C42" s="502"/>
      <c r="D42" s="503"/>
      <c r="E42" s="514"/>
      <c r="F42" s="514"/>
      <c r="G42" s="514"/>
    </row>
    <row r="43" spans="1:7" ht="11.25" customHeight="1">
      <c r="A43" s="279" t="s">
        <v>328</v>
      </c>
      <c r="B43" s="288"/>
      <c r="C43" s="288"/>
      <c r="D43" s="289"/>
      <c r="E43" s="284">
        <f>E44+E47</f>
        <v>625266.49</v>
      </c>
      <c r="F43" s="284">
        <f>F44+F47</f>
        <v>827433.32</v>
      </c>
      <c r="G43" s="284">
        <f>G44+G47</f>
        <v>1101565.31</v>
      </c>
    </row>
    <row r="44" spans="1:7" ht="11.25" customHeight="1">
      <c r="A44" s="522" t="s">
        <v>258</v>
      </c>
      <c r="B44" s="522"/>
      <c r="C44" s="522"/>
      <c r="D44" s="523"/>
      <c r="E44" s="285">
        <f>E45+E46</f>
        <v>625266.49</v>
      </c>
      <c r="F44" s="285">
        <f>F45+F46</f>
        <v>0</v>
      </c>
      <c r="G44" s="285">
        <f>G45+G46</f>
        <v>0</v>
      </c>
    </row>
    <row r="45" spans="1:7" ht="11.25" customHeight="1">
      <c r="A45" s="497" t="s">
        <v>259</v>
      </c>
      <c r="B45" s="497"/>
      <c r="C45" s="497"/>
      <c r="D45" s="498"/>
      <c r="E45" s="286">
        <v>625266.49</v>
      </c>
      <c r="F45" s="286"/>
      <c r="G45" s="286"/>
    </row>
    <row r="46" spans="1:7" ht="11.25" customHeight="1">
      <c r="A46" s="497" t="s">
        <v>260</v>
      </c>
      <c r="B46" s="497"/>
      <c r="C46" s="497"/>
      <c r="D46" s="498"/>
      <c r="E46" s="286"/>
      <c r="F46" s="286"/>
      <c r="G46" s="286"/>
    </row>
    <row r="47" spans="1:7" ht="11.25" customHeight="1">
      <c r="A47" s="522" t="s">
        <v>329</v>
      </c>
      <c r="B47" s="522"/>
      <c r="C47" s="522"/>
      <c r="D47" s="523"/>
      <c r="E47" s="285">
        <f>E48+E49+E50</f>
        <v>0</v>
      </c>
      <c r="F47" s="285">
        <f>F48+F49+F50</f>
        <v>827433.32</v>
      </c>
      <c r="G47" s="285">
        <f>G48+G49+G50</f>
        <v>1101565.31</v>
      </c>
    </row>
    <row r="48" spans="1:7" ht="11.25" customHeight="1">
      <c r="A48" s="497" t="s">
        <v>147</v>
      </c>
      <c r="B48" s="497"/>
      <c r="C48" s="497"/>
      <c r="D48" s="498"/>
      <c r="E48" s="286"/>
      <c r="F48" s="286">
        <v>26804.57</v>
      </c>
      <c r="G48" s="286">
        <v>90850.53</v>
      </c>
    </row>
    <row r="49" spans="1:7" ht="11.25" customHeight="1">
      <c r="A49" s="497" t="s">
        <v>261</v>
      </c>
      <c r="B49" s="497"/>
      <c r="C49" s="497"/>
      <c r="D49" s="498"/>
      <c r="E49" s="286"/>
      <c r="F49" s="286"/>
      <c r="G49" s="286"/>
    </row>
    <row r="50" spans="1:7" ht="11.25" customHeight="1">
      <c r="A50" s="497" t="s">
        <v>262</v>
      </c>
      <c r="B50" s="497"/>
      <c r="C50" s="497"/>
      <c r="D50" s="498"/>
      <c r="E50" s="286">
        <f>E51+E52</f>
        <v>0</v>
      </c>
      <c r="F50" s="286">
        <f>F51+F52</f>
        <v>800628.75</v>
      </c>
      <c r="G50" s="286">
        <f>G51+G52</f>
        <v>1010714.78</v>
      </c>
    </row>
    <row r="51" spans="1:7" s="127" customFormat="1" ht="11.25" customHeight="1">
      <c r="A51" s="497" t="s">
        <v>263</v>
      </c>
      <c r="B51" s="497"/>
      <c r="C51" s="497"/>
      <c r="D51" s="498"/>
      <c r="E51" s="286"/>
      <c r="F51" s="286"/>
      <c r="G51" s="286"/>
    </row>
    <row r="52" spans="1:7" ht="11.25" customHeight="1">
      <c r="A52" s="497" t="s">
        <v>264</v>
      </c>
      <c r="B52" s="497"/>
      <c r="C52" s="497"/>
      <c r="D52" s="498"/>
      <c r="E52" s="286"/>
      <c r="F52" s="286">
        <v>800628.75</v>
      </c>
      <c r="G52" s="286">
        <v>1010714.78</v>
      </c>
    </row>
    <row r="53" spans="1:7" ht="11.25" customHeight="1">
      <c r="A53" s="279" t="s">
        <v>330</v>
      </c>
      <c r="B53" s="288"/>
      <c r="C53" s="288"/>
      <c r="D53" s="289"/>
      <c r="E53" s="284">
        <f>E54</f>
        <v>0</v>
      </c>
      <c r="F53" s="284">
        <f>F54</f>
        <v>0</v>
      </c>
      <c r="G53" s="284">
        <f>G54</f>
        <v>0</v>
      </c>
    </row>
    <row r="54" spans="1:7" ht="11.25" customHeight="1">
      <c r="A54" s="522" t="s">
        <v>258</v>
      </c>
      <c r="B54" s="522"/>
      <c r="C54" s="522"/>
      <c r="D54" s="523"/>
      <c r="E54" s="285">
        <f>E55+E56</f>
        <v>0</v>
      </c>
      <c r="F54" s="285">
        <f>F55+F56</f>
        <v>0</v>
      </c>
      <c r="G54" s="285">
        <f>G55+G56</f>
        <v>0</v>
      </c>
    </row>
    <row r="55" spans="1:7" ht="11.25" customHeight="1">
      <c r="A55" s="497" t="s">
        <v>259</v>
      </c>
      <c r="B55" s="497"/>
      <c r="C55" s="497"/>
      <c r="D55" s="498"/>
      <c r="E55" s="286"/>
      <c r="F55" s="286"/>
      <c r="G55" s="286"/>
    </row>
    <row r="56" spans="1:7" ht="11.25" customHeight="1">
      <c r="A56" s="534" t="s">
        <v>260</v>
      </c>
      <c r="B56" s="534"/>
      <c r="C56" s="534"/>
      <c r="D56" s="535"/>
      <c r="E56" s="290"/>
      <c r="F56" s="290"/>
      <c r="G56" s="290"/>
    </row>
    <row r="57" spans="1:7" ht="11.25" customHeight="1">
      <c r="A57" s="527" t="s">
        <v>331</v>
      </c>
      <c r="B57" s="527"/>
      <c r="C57" s="527"/>
      <c r="D57" s="528"/>
      <c r="E57" s="292">
        <f>E43+E53</f>
        <v>625266.49</v>
      </c>
      <c r="F57" s="292">
        <f>F43+F53</f>
        <v>827433.32</v>
      </c>
      <c r="G57" s="292">
        <v>2143500</v>
      </c>
    </row>
    <row r="58" spans="1:7" ht="11.25" customHeight="1">
      <c r="A58" s="264"/>
      <c r="B58" s="264"/>
      <c r="C58" s="264"/>
      <c r="D58" s="264"/>
      <c r="E58" s="291"/>
      <c r="F58" s="291"/>
      <c r="G58" s="291"/>
    </row>
    <row r="59" spans="1:7" ht="11.25" customHeight="1">
      <c r="A59" s="532" t="s">
        <v>332</v>
      </c>
      <c r="B59" s="532"/>
      <c r="C59" s="532"/>
      <c r="D59" s="533"/>
      <c r="E59" s="293">
        <f>E39-E57</f>
        <v>1029677.1100000001</v>
      </c>
      <c r="F59" s="293">
        <f>F39-F57</f>
        <v>1632550.2000000002</v>
      </c>
      <c r="G59" s="293">
        <f>G39-G57</f>
        <v>178633.96999999974</v>
      </c>
    </row>
    <row r="60" spans="1:7" ht="11.25" customHeight="1">
      <c r="A60" s="264"/>
      <c r="B60" s="264"/>
      <c r="C60" s="264"/>
      <c r="D60" s="264"/>
      <c r="E60" s="274"/>
      <c r="F60" s="274"/>
      <c r="G60" s="274"/>
    </row>
    <row r="61" spans="1:7" ht="11.25" customHeight="1">
      <c r="A61" s="508" t="s">
        <v>333</v>
      </c>
      <c r="B61" s="509"/>
      <c r="C61" s="509"/>
      <c r="D61" s="510"/>
      <c r="E61" s="513">
        <v>2014</v>
      </c>
      <c r="F61" s="513">
        <f>E61+1</f>
        <v>2015</v>
      </c>
      <c r="G61" s="515">
        <f>F61+1</f>
        <v>2016</v>
      </c>
    </row>
    <row r="62" spans="1:7" ht="11.25" customHeight="1">
      <c r="A62" s="511"/>
      <c r="B62" s="511"/>
      <c r="C62" s="511"/>
      <c r="D62" s="512"/>
      <c r="E62" s="514"/>
      <c r="F62" s="514"/>
      <c r="G62" s="516"/>
    </row>
    <row r="63" spans="1:7" ht="11.25" customHeight="1">
      <c r="A63" s="275" t="s">
        <v>334</v>
      </c>
      <c r="B63" s="272"/>
      <c r="C63" s="272"/>
      <c r="D63" s="276"/>
      <c r="E63" s="286">
        <f>E64+E68</f>
        <v>0</v>
      </c>
      <c r="F63" s="286">
        <f>F64+F68</f>
        <v>0</v>
      </c>
      <c r="G63" s="286">
        <f>G64+G68</f>
        <v>0</v>
      </c>
    </row>
    <row r="64" spans="1:7" ht="11.25" customHeight="1">
      <c r="A64" s="128" t="s">
        <v>335</v>
      </c>
      <c r="B64" s="129"/>
      <c r="C64" s="129"/>
      <c r="D64" s="130"/>
      <c r="E64" s="286">
        <f>E65+E66+E67</f>
        <v>0</v>
      </c>
      <c r="F64" s="286">
        <f>F65+F66+F67</f>
        <v>0</v>
      </c>
      <c r="G64" s="286">
        <f>G65+G66+G67</f>
        <v>0</v>
      </c>
    </row>
    <row r="65" spans="1:7" ht="11.25" customHeight="1">
      <c r="A65" s="128" t="s">
        <v>336</v>
      </c>
      <c r="B65" s="129"/>
      <c r="C65" s="129"/>
      <c r="D65" s="130"/>
      <c r="E65" s="286"/>
      <c r="F65" s="286"/>
      <c r="G65" s="286"/>
    </row>
    <row r="66" spans="1:7" ht="11.25" customHeight="1">
      <c r="A66" s="128" t="s">
        <v>337</v>
      </c>
      <c r="B66" s="129"/>
      <c r="C66" s="129"/>
      <c r="D66" s="130"/>
      <c r="E66" s="286"/>
      <c r="F66" s="286"/>
      <c r="G66" s="286"/>
    </row>
    <row r="67" spans="1:7" ht="11.25" customHeight="1">
      <c r="A67" s="128" t="s">
        <v>338</v>
      </c>
      <c r="B67" s="129"/>
      <c r="C67" s="129"/>
      <c r="D67" s="130"/>
      <c r="E67" s="286"/>
      <c r="F67" s="286"/>
      <c r="G67" s="286"/>
    </row>
    <row r="68" spans="1:7" ht="11.25" customHeight="1">
      <c r="A68" s="128" t="s">
        <v>339</v>
      </c>
      <c r="B68" s="129"/>
      <c r="C68" s="129"/>
      <c r="D68" s="130"/>
      <c r="E68" s="286">
        <f>E69+E70+E71</f>
        <v>0</v>
      </c>
      <c r="F68" s="286">
        <f>F69+F70+F71</f>
        <v>0</v>
      </c>
      <c r="G68" s="286">
        <f>G69+G70+G71</f>
        <v>0</v>
      </c>
    </row>
    <row r="69" spans="1:7" ht="11.25" customHeight="1">
      <c r="A69" s="128" t="s">
        <v>340</v>
      </c>
      <c r="B69" s="129"/>
      <c r="C69" s="129"/>
      <c r="D69" s="130"/>
      <c r="E69" s="286"/>
      <c r="F69" s="286"/>
      <c r="G69" s="286"/>
    </row>
    <row r="70" spans="1:7" ht="11.25" customHeight="1">
      <c r="A70" s="128" t="s">
        <v>341</v>
      </c>
      <c r="B70" s="129"/>
      <c r="C70" s="129"/>
      <c r="D70" s="130"/>
      <c r="E70" s="286"/>
      <c r="F70" s="286"/>
      <c r="G70" s="286"/>
    </row>
    <row r="71" spans="1:7" ht="11.25" customHeight="1">
      <c r="A71" s="277" t="s">
        <v>338</v>
      </c>
      <c r="B71" s="262"/>
      <c r="C71" s="262"/>
      <c r="D71" s="263"/>
      <c r="E71" s="290"/>
      <c r="F71" s="290"/>
      <c r="G71" s="290"/>
    </row>
    <row r="72" spans="1:7" ht="11.25" customHeight="1">
      <c r="A72" s="264"/>
      <c r="B72" s="264"/>
      <c r="C72" s="264"/>
      <c r="D72" s="264"/>
      <c r="E72" s="274"/>
      <c r="F72" s="274"/>
      <c r="G72" s="274"/>
    </row>
    <row r="73" spans="1:7" ht="11.25" customHeight="1">
      <c r="A73" s="278" t="s">
        <v>342</v>
      </c>
      <c r="B73" s="264"/>
      <c r="C73" s="264"/>
      <c r="D73" s="265"/>
      <c r="E73" s="333">
        <v>1975550</v>
      </c>
      <c r="F73" s="333">
        <v>1009500</v>
      </c>
      <c r="G73" s="334"/>
    </row>
    <row r="74" spans="1:7" ht="11.25" customHeight="1">
      <c r="A74" s="504" t="s">
        <v>343</v>
      </c>
      <c r="B74" s="504"/>
      <c r="C74" s="504"/>
      <c r="D74" s="505"/>
      <c r="E74" s="335"/>
      <c r="F74" s="335"/>
      <c r="G74" s="336"/>
    </row>
    <row r="75" spans="1:7" ht="11.25" customHeight="1">
      <c r="A75" s="506" t="s">
        <v>393</v>
      </c>
      <c r="B75" s="507"/>
      <c r="C75" s="507"/>
      <c r="D75" s="507"/>
      <c r="E75" s="507"/>
      <c r="F75" s="507"/>
      <c r="G75" s="507"/>
    </row>
  </sheetData>
  <sheetProtection/>
  <mergeCells count="58">
    <mergeCell ref="A48:D48"/>
    <mergeCell ref="A49:D49"/>
    <mergeCell ref="A50:D50"/>
    <mergeCell ref="A52:D52"/>
    <mergeCell ref="A51:D51"/>
    <mergeCell ref="A59:D59"/>
    <mergeCell ref="A54:D54"/>
    <mergeCell ref="A56:D56"/>
    <mergeCell ref="A57:D57"/>
    <mergeCell ref="A55:D55"/>
    <mergeCell ref="F41:F42"/>
    <mergeCell ref="G41:G42"/>
    <mergeCell ref="A44:D44"/>
    <mergeCell ref="A45:D45"/>
    <mergeCell ref="A46:D46"/>
    <mergeCell ref="A47:D47"/>
    <mergeCell ref="A36:D36"/>
    <mergeCell ref="A38:D38"/>
    <mergeCell ref="A37:D37"/>
    <mergeCell ref="A39:D39"/>
    <mergeCell ref="A41:D42"/>
    <mergeCell ref="E41:E42"/>
    <mergeCell ref="A31:D31"/>
    <mergeCell ref="A32:D32"/>
    <mergeCell ref="A34:D34"/>
    <mergeCell ref="A33:D33"/>
    <mergeCell ref="A22:D22"/>
    <mergeCell ref="A24:D24"/>
    <mergeCell ref="A27:D27"/>
    <mergeCell ref="A28:D28"/>
    <mergeCell ref="A17:D17"/>
    <mergeCell ref="A18:D18"/>
    <mergeCell ref="A19:D19"/>
    <mergeCell ref="A21:D21"/>
    <mergeCell ref="A20:D20"/>
    <mergeCell ref="A30:D30"/>
    <mergeCell ref="F8:F9"/>
    <mergeCell ref="G8:G9"/>
    <mergeCell ref="A11:D11"/>
    <mergeCell ref="A13:D13"/>
    <mergeCell ref="A14:D14"/>
    <mergeCell ref="A16:D16"/>
    <mergeCell ref="A1:G1"/>
    <mergeCell ref="A2:G2"/>
    <mergeCell ref="A3:G3"/>
    <mergeCell ref="A4:G4"/>
    <mergeCell ref="A5:G5"/>
    <mergeCell ref="A6:G6"/>
    <mergeCell ref="A7:D7"/>
    <mergeCell ref="A12:D12"/>
    <mergeCell ref="A8:D9"/>
    <mergeCell ref="A74:D74"/>
    <mergeCell ref="A75:G75"/>
    <mergeCell ref="A61:D62"/>
    <mergeCell ref="E61:E62"/>
    <mergeCell ref="F61:F62"/>
    <mergeCell ref="G61:G62"/>
    <mergeCell ref="E8:E9"/>
  </mergeCells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12" sqref="B12:C12"/>
    </sheetView>
  </sheetViews>
  <sheetFormatPr defaultColWidth="9.140625" defaultRowHeight="11.25" customHeight="1"/>
  <cols>
    <col min="1" max="3" width="12.8515625" style="124" customWidth="1"/>
    <col min="4" max="4" width="24.00390625" style="124" customWidth="1"/>
    <col min="5" max="6" width="12.8515625" style="124" customWidth="1"/>
    <col min="7" max="7" width="14.28125" style="124" customWidth="1"/>
    <col min="8" max="8" width="12.8515625" style="124" customWidth="1"/>
    <col min="9" max="16384" width="9.140625" style="124" customWidth="1"/>
  </cols>
  <sheetData>
    <row r="1" spans="1:7" s="127" customFormat="1" ht="11.25" customHeight="1">
      <c r="A1" s="517" t="str">
        <f>Parâmetros!A7</f>
        <v>Município de :CARAÁ</v>
      </c>
      <c r="B1" s="520"/>
      <c r="C1" s="520"/>
      <c r="D1" s="520"/>
      <c r="E1" s="520"/>
      <c r="F1" s="520"/>
      <c r="G1" s="520"/>
    </row>
    <row r="2" spans="1:8" ht="11.25" customHeight="1">
      <c r="A2" s="518" t="s">
        <v>42</v>
      </c>
      <c r="B2" s="520"/>
      <c r="C2" s="520"/>
      <c r="D2" s="520"/>
      <c r="E2" s="520"/>
      <c r="F2" s="520"/>
      <c r="G2" s="520"/>
      <c r="H2" s="131"/>
    </row>
    <row r="3" spans="1:8" ht="11.25" customHeight="1">
      <c r="A3" s="518" t="s">
        <v>245</v>
      </c>
      <c r="B3" s="520"/>
      <c r="C3" s="520"/>
      <c r="D3" s="520"/>
      <c r="E3" s="520"/>
      <c r="F3" s="520"/>
      <c r="G3" s="520"/>
      <c r="H3" s="131"/>
    </row>
    <row r="4" spans="1:8" ht="11.25" customHeight="1">
      <c r="A4" s="518" t="s">
        <v>265</v>
      </c>
      <c r="B4" s="520"/>
      <c r="C4" s="520"/>
      <c r="D4" s="520"/>
      <c r="E4" s="520"/>
      <c r="F4" s="520"/>
      <c r="G4" s="520"/>
      <c r="H4" s="131"/>
    </row>
    <row r="5" spans="1:8" ht="11.25" customHeight="1">
      <c r="A5" s="518" t="s">
        <v>407</v>
      </c>
      <c r="B5" s="520"/>
      <c r="C5" s="520"/>
      <c r="D5" s="520"/>
      <c r="E5" s="520"/>
      <c r="F5" s="520"/>
      <c r="G5" s="520"/>
      <c r="H5" s="131"/>
    </row>
    <row r="6" spans="1:8" ht="11.25" customHeight="1">
      <c r="A6" s="132"/>
      <c r="B6" s="132"/>
      <c r="C6" s="132"/>
      <c r="D6" s="132"/>
      <c r="E6" s="132"/>
      <c r="F6" s="132"/>
      <c r="G6" s="132"/>
      <c r="H6" s="132"/>
    </row>
    <row r="7" spans="1:7" ht="11.25" customHeight="1">
      <c r="A7" s="128" t="s">
        <v>266</v>
      </c>
      <c r="B7" s="129"/>
      <c r="C7" s="129"/>
      <c r="D7" s="129"/>
      <c r="E7" s="133"/>
      <c r="F7" s="133"/>
      <c r="G7" s="134">
        <v>1</v>
      </c>
    </row>
    <row r="8" spans="1:7" ht="11.25" customHeight="1">
      <c r="A8" s="135" t="s">
        <v>149</v>
      </c>
      <c r="B8" s="538" t="s">
        <v>146</v>
      </c>
      <c r="C8" s="539"/>
      <c r="D8" s="136" t="s">
        <v>148</v>
      </c>
      <c r="E8" s="538" t="s">
        <v>267</v>
      </c>
      <c r="F8" s="539"/>
      <c r="G8" s="137" t="s">
        <v>145</v>
      </c>
    </row>
    <row r="9" spans="1:7" ht="11.25" customHeight="1">
      <c r="A9" s="138"/>
      <c r="B9" s="139"/>
      <c r="C9" s="140"/>
      <c r="D9" s="139"/>
      <c r="E9" s="139"/>
      <c r="F9" s="141"/>
      <c r="G9" s="142" t="s">
        <v>268</v>
      </c>
    </row>
    <row r="10" spans="1:7" ht="11.25" customHeight="1">
      <c r="A10" s="143"/>
      <c r="B10" s="536" t="s">
        <v>105</v>
      </c>
      <c r="C10" s="537"/>
      <c r="D10" s="144" t="s">
        <v>107</v>
      </c>
      <c r="E10" s="536" t="s">
        <v>269</v>
      </c>
      <c r="F10" s="537"/>
      <c r="G10" s="145" t="s">
        <v>270</v>
      </c>
    </row>
    <row r="11" spans="1:7" ht="11.25" customHeight="1">
      <c r="A11" s="146"/>
      <c r="B11" s="147"/>
      <c r="C11" s="148"/>
      <c r="D11" s="149"/>
      <c r="E11" s="149"/>
      <c r="F11" s="150"/>
      <c r="G11" s="151" t="s">
        <v>271</v>
      </c>
    </row>
    <row r="12" spans="1:7" ht="11.25" customHeight="1">
      <c r="A12" s="152">
        <v>2016</v>
      </c>
      <c r="B12" s="540"/>
      <c r="C12" s="541"/>
      <c r="D12" s="337"/>
      <c r="E12" s="542">
        <f aca="true" t="shared" si="0" ref="E12:E17">B12-D12</f>
        <v>0</v>
      </c>
      <c r="F12" s="543"/>
      <c r="G12" s="337"/>
    </row>
    <row r="13" spans="1:7" ht="11.25" customHeight="1">
      <c r="A13" s="152">
        <v>2017</v>
      </c>
      <c r="B13" s="544"/>
      <c r="C13" s="545"/>
      <c r="D13" s="338"/>
      <c r="E13" s="546">
        <f t="shared" si="0"/>
        <v>0</v>
      </c>
      <c r="F13" s="547"/>
      <c r="G13" s="338">
        <f>G12+E13</f>
        <v>0</v>
      </c>
    </row>
    <row r="14" spans="1:7" ht="11.25" customHeight="1">
      <c r="A14" s="152">
        <v>2018</v>
      </c>
      <c r="B14" s="544"/>
      <c r="C14" s="545"/>
      <c r="D14" s="338"/>
      <c r="E14" s="546">
        <f t="shared" si="0"/>
        <v>0</v>
      </c>
      <c r="F14" s="547"/>
      <c r="G14" s="338">
        <f>G13+E14</f>
        <v>0</v>
      </c>
    </row>
    <row r="15" spans="1:7" ht="11.25" customHeight="1">
      <c r="A15" s="152">
        <v>2019</v>
      </c>
      <c r="B15" s="544"/>
      <c r="C15" s="545"/>
      <c r="D15" s="338"/>
      <c r="E15" s="546">
        <f t="shared" si="0"/>
        <v>0</v>
      </c>
      <c r="F15" s="547"/>
      <c r="G15" s="338">
        <f>G14+E15</f>
        <v>0</v>
      </c>
    </row>
    <row r="16" spans="1:7" ht="11.25" customHeight="1">
      <c r="A16" s="152">
        <v>2020</v>
      </c>
      <c r="B16" s="548"/>
      <c r="C16" s="549"/>
      <c r="D16" s="339"/>
      <c r="E16" s="550">
        <f t="shared" si="0"/>
        <v>0</v>
      </c>
      <c r="F16" s="551"/>
      <c r="G16" s="339">
        <f>G15+E16</f>
        <v>0</v>
      </c>
    </row>
    <row r="17" spans="1:7" ht="11.25" customHeight="1">
      <c r="A17" s="152">
        <v>2021</v>
      </c>
      <c r="B17" s="548"/>
      <c r="C17" s="549"/>
      <c r="D17" s="339"/>
      <c r="E17" s="550">
        <f t="shared" si="0"/>
        <v>0</v>
      </c>
      <c r="F17" s="551"/>
      <c r="G17" s="339">
        <f>G16+E17</f>
        <v>0</v>
      </c>
    </row>
    <row r="18" spans="1:7" ht="11.25" customHeight="1">
      <c r="A18" s="152" t="s">
        <v>387</v>
      </c>
      <c r="B18" s="548"/>
      <c r="C18" s="549"/>
      <c r="D18" s="339"/>
      <c r="E18" s="550"/>
      <c r="F18" s="551"/>
      <c r="G18" s="339"/>
    </row>
    <row r="19" spans="1:7" ht="11.25" customHeight="1">
      <c r="A19" s="152" t="s">
        <v>387</v>
      </c>
      <c r="B19" s="548"/>
      <c r="C19" s="549"/>
      <c r="D19" s="339"/>
      <c r="E19" s="550"/>
      <c r="F19" s="551"/>
      <c r="G19" s="339"/>
    </row>
    <row r="20" spans="1:7" ht="11.25" customHeight="1">
      <c r="A20" s="152"/>
      <c r="B20" s="548"/>
      <c r="C20" s="549"/>
      <c r="D20" s="339"/>
      <c r="E20" s="550"/>
      <c r="F20" s="551"/>
      <c r="G20" s="339"/>
    </row>
    <row r="21" spans="1:7" ht="11.25" customHeight="1">
      <c r="A21" s="152"/>
      <c r="B21" s="548"/>
      <c r="C21" s="549"/>
      <c r="D21" s="339"/>
      <c r="E21" s="550"/>
      <c r="F21" s="551"/>
      <c r="G21" s="339"/>
    </row>
    <row r="22" ht="11.25" customHeight="1">
      <c r="A22" s="381" t="s">
        <v>396</v>
      </c>
    </row>
  </sheetData>
  <sheetProtection/>
  <mergeCells count="29">
    <mergeCell ref="B21:C21"/>
    <mergeCell ref="E21:F21"/>
    <mergeCell ref="B19:C19"/>
    <mergeCell ref="E19:F19"/>
    <mergeCell ref="B20:C20"/>
    <mergeCell ref="E20:F20"/>
    <mergeCell ref="B16:C16"/>
    <mergeCell ref="E16:F16"/>
    <mergeCell ref="B14:C14"/>
    <mergeCell ref="B17:C17"/>
    <mergeCell ref="E17:F17"/>
    <mergeCell ref="B18:C18"/>
    <mergeCell ref="E18:F18"/>
    <mergeCell ref="B12:C12"/>
    <mergeCell ref="E12:F12"/>
    <mergeCell ref="B13:C13"/>
    <mergeCell ref="E13:F13"/>
    <mergeCell ref="E14:F14"/>
    <mergeCell ref="B15:C15"/>
    <mergeCell ref="E15:F15"/>
    <mergeCell ref="A1:G1"/>
    <mergeCell ref="A2:G2"/>
    <mergeCell ref="B10:C10"/>
    <mergeCell ref="E10:F10"/>
    <mergeCell ref="A3:G3"/>
    <mergeCell ref="A4:G4"/>
    <mergeCell ref="A5:G5"/>
    <mergeCell ref="B8:C8"/>
    <mergeCell ref="E8:F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7"/>
  <dimension ref="A1:G26"/>
  <sheetViews>
    <sheetView zoomScale="90" zoomScaleNormal="90" zoomScalePageLayoutView="0" workbookViewId="0" topLeftCell="A1">
      <selection activeCell="J40" sqref="J40"/>
    </sheetView>
  </sheetViews>
  <sheetFormatPr defaultColWidth="9.140625" defaultRowHeight="12.75"/>
  <cols>
    <col min="1" max="1" width="22.421875" style="0" customWidth="1"/>
    <col min="2" max="2" width="15.7109375" style="0" customWidth="1"/>
    <col min="3" max="3" width="14.00390625" style="0" customWidth="1"/>
    <col min="4" max="6" width="12.8515625" style="0" customWidth="1"/>
    <col min="7" max="7" width="16.140625" style="0" customWidth="1"/>
  </cols>
  <sheetData>
    <row r="1" spans="1:6" ht="12.75">
      <c r="A1" s="408" t="str">
        <f>Parâmetros!A7</f>
        <v>Município de :CARAÁ</v>
      </c>
      <c r="B1" s="409"/>
      <c r="C1" s="409"/>
      <c r="D1" s="409"/>
      <c r="E1" s="409"/>
      <c r="F1" s="410"/>
    </row>
    <row r="2" spans="1:6" ht="12.75">
      <c r="A2" s="411" t="s">
        <v>42</v>
      </c>
      <c r="B2" s="409"/>
      <c r="C2" s="409"/>
      <c r="D2" s="409"/>
      <c r="E2" s="409"/>
      <c r="F2" s="410"/>
    </row>
    <row r="3" spans="1:6" ht="12.75">
      <c r="A3" s="411" t="s">
        <v>175</v>
      </c>
      <c r="B3" s="409"/>
      <c r="C3" s="409"/>
      <c r="D3" s="409"/>
      <c r="E3" s="409"/>
      <c r="F3" s="410"/>
    </row>
    <row r="4" spans="1:6" ht="12.75">
      <c r="A4" s="393" t="s">
        <v>187</v>
      </c>
      <c r="B4" s="391"/>
      <c r="C4" s="391"/>
      <c r="D4" s="391"/>
      <c r="E4" s="391"/>
      <c r="F4" s="392"/>
    </row>
    <row r="5" spans="1:6" ht="12.75">
      <c r="A5" s="411" t="s">
        <v>401</v>
      </c>
      <c r="B5" s="409"/>
      <c r="C5" s="409"/>
      <c r="D5" s="409"/>
      <c r="E5" s="409"/>
      <c r="F5" s="410"/>
    </row>
    <row r="6" spans="1:6" ht="12.75">
      <c r="A6" s="411"/>
      <c r="B6" s="409"/>
      <c r="C6" s="409"/>
      <c r="D6" s="409"/>
      <c r="E6" s="409"/>
      <c r="F6" s="410"/>
    </row>
    <row r="7" spans="1:7" s="124" customFormat="1" ht="11.25" customHeight="1">
      <c r="A7" s="163" t="s">
        <v>293</v>
      </c>
      <c r="B7" s="164"/>
      <c r="C7" s="164"/>
      <c r="D7" s="164"/>
      <c r="E7" s="164"/>
      <c r="F7" s="165"/>
      <c r="G7" s="166">
        <v>1</v>
      </c>
    </row>
    <row r="8" spans="1:7" s="127" customFormat="1" ht="11.25" customHeight="1">
      <c r="A8" s="557" t="s">
        <v>279</v>
      </c>
      <c r="B8" s="467" t="s">
        <v>280</v>
      </c>
      <c r="C8" s="465" t="s">
        <v>281</v>
      </c>
      <c r="D8" s="467" t="s">
        <v>150</v>
      </c>
      <c r="E8" s="562"/>
      <c r="F8" s="557"/>
      <c r="G8" s="467" t="s">
        <v>151</v>
      </c>
    </row>
    <row r="9" spans="1:7" s="127" customFormat="1" ht="11.25" customHeight="1">
      <c r="A9" s="558"/>
      <c r="B9" s="552"/>
      <c r="C9" s="560"/>
      <c r="D9" s="468"/>
      <c r="E9" s="563"/>
      <c r="F9" s="559"/>
      <c r="G9" s="552"/>
    </row>
    <row r="10" spans="1:7" s="124" customFormat="1" ht="24" customHeight="1">
      <c r="A10" s="559"/>
      <c r="B10" s="468"/>
      <c r="C10" s="561"/>
      <c r="D10" s="167">
        <v>2017</v>
      </c>
      <c r="E10" s="167">
        <f>D10+1</f>
        <v>2018</v>
      </c>
      <c r="F10" s="167">
        <f>E10+1</f>
        <v>2019</v>
      </c>
      <c r="G10" s="468"/>
    </row>
    <row r="11" spans="1:7" s="124" customFormat="1" ht="26.25" customHeight="1">
      <c r="A11" s="168"/>
      <c r="B11" s="168"/>
      <c r="C11" s="168"/>
      <c r="D11" s="169"/>
      <c r="E11" s="169">
        <f>D11*(1+B24)</f>
        <v>0</v>
      </c>
      <c r="F11" s="169">
        <f>E11*(1+B25)</f>
        <v>0</v>
      </c>
      <c r="G11" s="553" t="s">
        <v>283</v>
      </c>
    </row>
    <row r="12" spans="1:7" s="124" customFormat="1" ht="42" customHeight="1">
      <c r="A12" s="168"/>
      <c r="B12" s="168"/>
      <c r="C12" s="168"/>
      <c r="D12" s="169"/>
      <c r="E12" s="169">
        <f>D12*(1+B24)</f>
        <v>0</v>
      </c>
      <c r="F12" s="169">
        <f>E12*(1+B25)</f>
        <v>0</v>
      </c>
      <c r="G12" s="554"/>
    </row>
    <row r="13" spans="1:7" s="124" customFormat="1" ht="30.75" customHeight="1">
      <c r="A13" s="168"/>
      <c r="B13" s="168"/>
      <c r="C13" s="168"/>
      <c r="D13" s="169"/>
      <c r="E13" s="169">
        <f>D13*(1+B24)</f>
        <v>0</v>
      </c>
      <c r="F13" s="169">
        <f>E13*(1+B25)</f>
        <v>0</v>
      </c>
      <c r="G13" s="175" t="s">
        <v>284</v>
      </c>
    </row>
    <row r="14" spans="1:7" s="124" customFormat="1" ht="11.25" customHeight="1">
      <c r="A14" s="168"/>
      <c r="B14" s="168"/>
      <c r="C14" s="168"/>
      <c r="D14" s="169"/>
      <c r="E14" s="169">
        <f>D14*(1+B24)</f>
        <v>0</v>
      </c>
      <c r="F14" s="169">
        <f>E14*(1+B25)</f>
        <v>0</v>
      </c>
      <c r="G14" s="175"/>
    </row>
    <row r="15" spans="1:7" s="124" customFormat="1" ht="11.25" customHeight="1">
      <c r="A15" s="168"/>
      <c r="B15" s="168"/>
      <c r="C15" s="168"/>
      <c r="D15" s="169"/>
      <c r="E15" s="169">
        <f>D15*(1+B24)</f>
        <v>0</v>
      </c>
      <c r="F15" s="169">
        <f>E15*(1+B25)</f>
        <v>0</v>
      </c>
      <c r="G15" s="175"/>
    </row>
    <row r="16" spans="1:7" s="124" customFormat="1" ht="11.25" customHeight="1">
      <c r="A16" s="168"/>
      <c r="B16" s="168"/>
      <c r="C16" s="168"/>
      <c r="D16" s="169"/>
      <c r="E16" s="169">
        <f>D16*(1+B24)</f>
        <v>0</v>
      </c>
      <c r="F16" s="169">
        <f>E16*(1+B25)</f>
        <v>0</v>
      </c>
      <c r="G16" s="175"/>
    </row>
    <row r="17" spans="1:7" s="124" customFormat="1" ht="11.25" customHeight="1">
      <c r="A17" s="170"/>
      <c r="B17" s="170"/>
      <c r="C17" s="170"/>
      <c r="D17" s="171"/>
      <c r="E17" s="169">
        <f>D17*(1+B24)</f>
        <v>0</v>
      </c>
      <c r="F17" s="169">
        <f>E17*(1+B25)</f>
        <v>0</v>
      </c>
      <c r="G17" s="176"/>
    </row>
    <row r="18" spans="1:7" s="124" customFormat="1" ht="11.25" customHeight="1">
      <c r="A18" s="555" t="s">
        <v>130</v>
      </c>
      <c r="B18" s="555"/>
      <c r="C18" s="556"/>
      <c r="D18" s="171">
        <f>SUM(D11:D17)</f>
        <v>0</v>
      </c>
      <c r="E18" s="171">
        <f>SUM(E11:E17)</f>
        <v>0</v>
      </c>
      <c r="F18" s="171">
        <f>SUM(F11:F17)</f>
        <v>0</v>
      </c>
      <c r="G18" s="176" t="s">
        <v>282</v>
      </c>
    </row>
    <row r="19" spans="1:7" s="124" customFormat="1" ht="11.25" customHeight="1">
      <c r="A19" s="382" t="s">
        <v>397</v>
      </c>
      <c r="B19" s="172"/>
      <c r="C19" s="172"/>
      <c r="D19" s="172"/>
      <c r="E19" s="172"/>
      <c r="F19" s="172"/>
      <c r="G19" s="172"/>
    </row>
    <row r="20" spans="1:6" ht="12.75">
      <c r="A20" s="35" t="s">
        <v>408</v>
      </c>
      <c r="B20" s="153"/>
      <c r="C20" s="153"/>
      <c r="D20" s="153"/>
      <c r="E20" s="153"/>
      <c r="F20" s="153"/>
    </row>
    <row r="21" ht="12.75">
      <c r="A21" t="s">
        <v>215</v>
      </c>
    </row>
    <row r="22" ht="12.75">
      <c r="A22" s="35" t="s">
        <v>409</v>
      </c>
    </row>
    <row r="23" ht="12.75">
      <c r="A23" t="s">
        <v>218</v>
      </c>
    </row>
    <row r="24" spans="1:2" ht="12.75">
      <c r="A24" s="35" t="s">
        <v>388</v>
      </c>
      <c r="B24" s="106">
        <f>Parâmetros!F11</f>
        <v>0.0474</v>
      </c>
    </row>
    <row r="25" spans="1:2" ht="12.75">
      <c r="A25" s="35" t="s">
        <v>410</v>
      </c>
      <c r="B25" s="106">
        <f>Parâmetros!G11</f>
        <v>0.0458</v>
      </c>
    </row>
    <row r="26" ht="12.75">
      <c r="B26" s="106"/>
    </row>
  </sheetData>
  <sheetProtection/>
  <mergeCells count="13">
    <mergeCell ref="A18:C18"/>
    <mergeCell ref="A5:F5"/>
    <mergeCell ref="A6:F6"/>
    <mergeCell ref="A8:A10"/>
    <mergeCell ref="B8:B10"/>
    <mergeCell ref="C8:C10"/>
    <mergeCell ref="D8:F9"/>
    <mergeCell ref="A1:F1"/>
    <mergeCell ref="A2:F2"/>
    <mergeCell ref="A3:F3"/>
    <mergeCell ref="A4:F4"/>
    <mergeCell ref="G8:G10"/>
    <mergeCell ref="G11:G12"/>
  </mergeCells>
  <printOptions/>
  <pageMargins left="0.787401575" right="0.787401575" top="0.984251969" bottom="0.984251969" header="0.492125985" footer="0.492125985"/>
  <pageSetup horizontalDpi="300" verticalDpi="3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8">
    <pageSetUpPr fitToPage="1"/>
  </sheetPr>
  <dimension ref="A1:B31"/>
  <sheetViews>
    <sheetView zoomScale="90" zoomScaleNormal="90" zoomScalePageLayoutView="0" workbookViewId="0" topLeftCell="A1">
      <selection activeCell="F25" sqref="F25"/>
    </sheetView>
  </sheetViews>
  <sheetFormatPr defaultColWidth="9.140625" defaultRowHeight="12.75"/>
  <cols>
    <col min="1" max="1" width="46.421875" style="35" customWidth="1"/>
    <col min="2" max="2" width="44.7109375" style="35" customWidth="1"/>
    <col min="3" max="16384" width="9.140625" style="35" customWidth="1"/>
  </cols>
  <sheetData>
    <row r="1" spans="1:2" ht="12.75">
      <c r="A1" s="433" t="str">
        <f>Parâmetros!A7</f>
        <v>Município de :CARAÁ</v>
      </c>
      <c r="B1" s="432"/>
    </row>
    <row r="2" spans="1:2" ht="12.75">
      <c r="A2" s="430" t="s">
        <v>42</v>
      </c>
      <c r="B2" s="432"/>
    </row>
    <row r="3" spans="1:2" ht="12.75">
      <c r="A3" s="430" t="s">
        <v>175</v>
      </c>
      <c r="B3" s="432"/>
    </row>
    <row r="4" spans="1:2" ht="12.75">
      <c r="A4" s="434" t="s">
        <v>213</v>
      </c>
      <c r="B4" s="436"/>
    </row>
    <row r="5" spans="1:2" ht="12.75">
      <c r="A5" s="430" t="s">
        <v>401</v>
      </c>
      <c r="B5" s="432"/>
    </row>
    <row r="6" spans="1:2" ht="12.75">
      <c r="A6" s="430"/>
      <c r="B6" s="432"/>
    </row>
    <row r="7" spans="1:2" ht="12.75">
      <c r="A7" s="236" t="s">
        <v>294</v>
      </c>
      <c r="B7" s="235">
        <v>1</v>
      </c>
    </row>
    <row r="8" spans="1:2" s="37" customFormat="1" ht="25.5" customHeight="1">
      <c r="A8" s="234" t="s">
        <v>152</v>
      </c>
      <c r="B8" s="204" t="s">
        <v>411</v>
      </c>
    </row>
    <row r="9" spans="1:2" ht="15.75">
      <c r="A9" s="237" t="s">
        <v>153</v>
      </c>
      <c r="B9" s="238">
        <f>(B10+B11)</f>
        <v>2994794.2515809587</v>
      </c>
    </row>
    <row r="10" spans="1:2" ht="15">
      <c r="A10" s="239" t="s">
        <v>209</v>
      </c>
      <c r="B10" s="240">
        <f>(Projeções!G10)/(1+Parâmetros!E11)-Projeções!F10</f>
        <v>93447.96329478675</v>
      </c>
    </row>
    <row r="11" spans="1:2" ht="15">
      <c r="A11" s="239" t="s">
        <v>210</v>
      </c>
      <c r="B11" s="240">
        <f>Projeções!G22/(1+Parâmetros!E11)-Projeções!F22</f>
        <v>2901346.288286172</v>
      </c>
    </row>
    <row r="12" spans="1:2" ht="15">
      <c r="A12" s="239" t="s">
        <v>348</v>
      </c>
      <c r="B12" s="240">
        <v>0</v>
      </c>
    </row>
    <row r="13" spans="1:2" ht="15">
      <c r="A13" s="241" t="s">
        <v>222</v>
      </c>
      <c r="B13" s="240">
        <f>Projeções!G33/(1+Parâmetros!E11)-Projeções!F33</f>
        <v>0</v>
      </c>
    </row>
    <row r="14" spans="1:2" ht="15.75">
      <c r="A14" s="242" t="s">
        <v>154</v>
      </c>
      <c r="B14" s="243">
        <f>B9+B13</f>
        <v>2994794.2515809587</v>
      </c>
    </row>
    <row r="15" spans="1:2" ht="15">
      <c r="A15" s="241" t="s">
        <v>155</v>
      </c>
      <c r="B15" s="244">
        <v>0</v>
      </c>
    </row>
    <row r="16" spans="1:2" ht="15.75">
      <c r="A16" s="241" t="s">
        <v>156</v>
      </c>
      <c r="B16" s="243">
        <f>B14+B15</f>
        <v>2994794.2515809587</v>
      </c>
    </row>
    <row r="17" spans="1:2" ht="15">
      <c r="A17" s="239" t="s">
        <v>157</v>
      </c>
      <c r="B17" s="240"/>
    </row>
    <row r="18" spans="1:2" ht="15.75">
      <c r="A18" s="242" t="s">
        <v>345</v>
      </c>
      <c r="B18" s="243">
        <f>B19+B20</f>
        <v>527399.179564625</v>
      </c>
    </row>
    <row r="19" spans="1:2" ht="15">
      <c r="A19" s="241" t="s">
        <v>211</v>
      </c>
      <c r="B19" s="240">
        <f>Projeções!G41/(1+Parâmetros!E11)-Projeções!F41</f>
        <v>143503.17260899954</v>
      </c>
    </row>
    <row r="20" spans="1:2" ht="15">
      <c r="A20" s="241" t="s">
        <v>212</v>
      </c>
      <c r="B20" s="240">
        <f>Projeções!G47/(1+Parâmetros!E11)-Projeções!F47</f>
        <v>383896.0069556255</v>
      </c>
    </row>
    <row r="21" spans="1:2" ht="15">
      <c r="A21" s="242" t="s">
        <v>346</v>
      </c>
      <c r="B21" s="240">
        <v>0</v>
      </c>
    </row>
    <row r="22" spans="1:2" ht="21" customHeight="1">
      <c r="A22" s="242" t="s">
        <v>347</v>
      </c>
      <c r="B22" s="245">
        <f>IF(B16-B17-B18&lt;0,"SEM MARGEM",B16-B17-B18)</f>
        <v>2467395.0720163337</v>
      </c>
    </row>
    <row r="23" spans="1:2" ht="12.75">
      <c r="A23" s="564" t="s">
        <v>393</v>
      </c>
      <c r="B23" s="565"/>
    </row>
    <row r="24" ht="12.75">
      <c r="A24" s="23"/>
    </row>
    <row r="25" spans="1:2" ht="12.75">
      <c r="A25" s="246"/>
      <c r="B25" s="246"/>
    </row>
    <row r="26" ht="12.75">
      <c r="A26" s="246"/>
    </row>
    <row r="27" ht="12.75">
      <c r="A27" s="246"/>
    </row>
    <row r="28" ht="12.75">
      <c r="A28" s="246"/>
    </row>
    <row r="29" ht="12.75">
      <c r="A29" s="246"/>
    </row>
    <row r="30" ht="12.75">
      <c r="A30" s="246"/>
    </row>
    <row r="31" ht="12.75">
      <c r="A31" s="246"/>
    </row>
  </sheetData>
  <sheetProtection/>
  <mergeCells count="7">
    <mergeCell ref="A1:B1"/>
    <mergeCell ref="A2:B2"/>
    <mergeCell ref="A23:B23"/>
    <mergeCell ref="A3:B3"/>
    <mergeCell ref="A4:B4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9"/>
  <sheetViews>
    <sheetView zoomScale="90" zoomScaleNormal="90" zoomScalePageLayoutView="0" workbookViewId="0" topLeftCell="A1">
      <selection activeCell="B10" sqref="B10"/>
    </sheetView>
  </sheetViews>
  <sheetFormatPr defaultColWidth="9.140625" defaultRowHeight="12.75"/>
  <cols>
    <col min="1" max="1" width="41.00390625" style="247" customWidth="1"/>
    <col min="2" max="2" width="44.7109375" style="247" customWidth="1"/>
    <col min="3" max="16384" width="9.140625" style="247" customWidth="1"/>
  </cols>
  <sheetData>
    <row r="1" spans="1:2" ht="11.25">
      <c r="A1" s="408" t="str">
        <f>Parâmetros!A7</f>
        <v>Município de :CARAÁ</v>
      </c>
      <c r="B1" s="410"/>
    </row>
    <row r="2" spans="1:2" ht="11.25">
      <c r="A2" s="411" t="s">
        <v>42</v>
      </c>
      <c r="B2" s="410"/>
    </row>
    <row r="3" spans="1:2" ht="11.25">
      <c r="A3" s="411" t="s">
        <v>175</v>
      </c>
      <c r="B3" s="410"/>
    </row>
    <row r="4" spans="1:2" ht="11.25">
      <c r="A4" s="393" t="s">
        <v>213</v>
      </c>
      <c r="B4" s="392"/>
    </row>
    <row r="5" spans="1:2" ht="11.25">
      <c r="A5" s="411" t="s">
        <v>401</v>
      </c>
      <c r="B5" s="410"/>
    </row>
    <row r="6" spans="1:2" ht="11.25">
      <c r="A6" s="411"/>
      <c r="B6" s="410"/>
    </row>
    <row r="7" spans="1:2" ht="11.25">
      <c r="A7" s="173" t="s">
        <v>294</v>
      </c>
      <c r="B7" s="34">
        <v>1</v>
      </c>
    </row>
    <row r="8" spans="1:2" s="248" customFormat="1" ht="25.5" customHeight="1">
      <c r="A8" s="31" t="s">
        <v>152</v>
      </c>
      <c r="B8" s="383" t="s">
        <v>411</v>
      </c>
    </row>
    <row r="9" spans="1:2" ht="11.25">
      <c r="A9" s="90" t="s">
        <v>153</v>
      </c>
      <c r="B9" s="249"/>
    </row>
    <row r="10" spans="1:2" ht="11.25">
      <c r="A10" s="32" t="s">
        <v>209</v>
      </c>
      <c r="B10" s="250"/>
    </row>
    <row r="11" spans="1:2" ht="11.25">
      <c r="A11" s="32" t="s">
        <v>210</v>
      </c>
      <c r="B11" s="250"/>
    </row>
    <row r="12" spans="1:2" ht="11.25">
      <c r="A12" s="33" t="s">
        <v>222</v>
      </c>
      <c r="B12" s="250"/>
    </row>
    <row r="13" spans="1:2" ht="11.25">
      <c r="A13" s="91" t="s">
        <v>154</v>
      </c>
      <c r="B13" s="251"/>
    </row>
    <row r="14" spans="1:2" ht="11.25">
      <c r="A14" s="33" t="s">
        <v>155</v>
      </c>
      <c r="B14" s="252"/>
    </row>
    <row r="15" spans="1:2" ht="11.25">
      <c r="A15" s="33" t="s">
        <v>156</v>
      </c>
      <c r="B15" s="251"/>
    </row>
    <row r="16" spans="1:2" ht="11.25">
      <c r="A16" s="32" t="s">
        <v>157</v>
      </c>
      <c r="B16" s="250"/>
    </row>
    <row r="17" spans="1:2" ht="11.25">
      <c r="A17" s="91" t="s">
        <v>158</v>
      </c>
      <c r="B17" s="251"/>
    </row>
    <row r="18" spans="1:2" ht="11.25">
      <c r="A18" s="33" t="s">
        <v>211</v>
      </c>
      <c r="B18" s="250"/>
    </row>
    <row r="19" spans="1:2" ht="11.25">
      <c r="A19" s="33" t="s">
        <v>212</v>
      </c>
      <c r="B19" s="250"/>
    </row>
    <row r="20" spans="1:2" ht="11.25">
      <c r="A20" s="91" t="s">
        <v>159</v>
      </c>
      <c r="B20" s="253">
        <f>IF(B15-B16-B17&lt;0,"SEM MARGEM",B15-B16-B17)</f>
        <v>0</v>
      </c>
    </row>
    <row r="21" spans="1:2" ht="11.25">
      <c r="A21" s="423" t="s">
        <v>178</v>
      </c>
      <c r="B21" s="566"/>
    </row>
    <row r="22" ht="11.25">
      <c r="A22" s="254"/>
    </row>
    <row r="23" spans="1:2" ht="11.25">
      <c r="A23" s="255"/>
      <c r="B23" s="255"/>
    </row>
    <row r="24" ht="11.25">
      <c r="A24" s="255"/>
    </row>
    <row r="25" ht="11.25">
      <c r="A25" s="255"/>
    </row>
    <row r="26" ht="11.25">
      <c r="A26" s="255"/>
    </row>
    <row r="27" ht="11.25">
      <c r="A27" s="255"/>
    </row>
    <row r="28" ht="11.25">
      <c r="A28" s="255"/>
    </row>
    <row r="29" ht="11.25">
      <c r="A29" s="255"/>
    </row>
  </sheetData>
  <sheetProtection/>
  <mergeCells count="7">
    <mergeCell ref="A5:B5"/>
    <mergeCell ref="A6:B6"/>
    <mergeCell ref="A21:B21"/>
    <mergeCell ref="A1:B1"/>
    <mergeCell ref="A2:B2"/>
    <mergeCell ref="A3:B3"/>
    <mergeCell ref="A4:B4"/>
  </mergeCells>
  <printOptions/>
  <pageMargins left="0.787401575" right="0.787401575" top="0.984251969" bottom="0.984251969" header="0.492125985" footer="0.492125985"/>
  <pageSetup horizontalDpi="300" verticalDpi="3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9">
      <selection activeCell="C37" sqref="C37"/>
    </sheetView>
  </sheetViews>
  <sheetFormatPr defaultColWidth="9.140625" defaultRowHeight="12.75"/>
  <cols>
    <col min="1" max="1" width="38.8515625" style="35" customWidth="1"/>
    <col min="2" max="2" width="15.7109375" style="35" customWidth="1"/>
    <col min="3" max="3" width="36.8515625" style="35" customWidth="1"/>
    <col min="4" max="4" width="15.7109375" style="35" customWidth="1"/>
    <col min="5" max="5" width="9.140625" style="35" customWidth="1"/>
  </cols>
  <sheetData>
    <row r="1" spans="1:4" ht="12.75">
      <c r="A1" s="567" t="str">
        <f>Parâmetros!A7</f>
        <v>Município de :CARAÁ</v>
      </c>
      <c r="B1" s="568"/>
      <c r="C1" s="568"/>
      <c r="D1" s="568"/>
    </row>
    <row r="2" spans="1:4" ht="12.75">
      <c r="A2" s="568" t="s">
        <v>42</v>
      </c>
      <c r="B2" s="568"/>
      <c r="C2" s="568"/>
      <c r="D2" s="568"/>
    </row>
    <row r="3" spans="1:4" ht="12.75">
      <c r="A3" s="568" t="s">
        <v>297</v>
      </c>
      <c r="B3" s="568"/>
      <c r="C3" s="568"/>
      <c r="D3" s="568"/>
    </row>
    <row r="4" spans="1:4" ht="12.75">
      <c r="A4" s="569" t="s">
        <v>160</v>
      </c>
      <c r="B4" s="569"/>
      <c r="C4" s="569"/>
      <c r="D4" s="569"/>
    </row>
    <row r="5" spans="1:4" ht="12.75">
      <c r="A5" s="568" t="s">
        <v>401</v>
      </c>
      <c r="B5" s="568"/>
      <c r="C5" s="568"/>
      <c r="D5" s="568"/>
    </row>
    <row r="6" spans="1:4" ht="12.75">
      <c r="A6" s="570"/>
      <c r="B6" s="570"/>
      <c r="C6" s="570"/>
      <c r="D6" s="570"/>
    </row>
    <row r="7" spans="1:4" ht="12.75">
      <c r="A7" s="571" t="s">
        <v>298</v>
      </c>
      <c r="B7" s="571"/>
      <c r="C7" s="572">
        <v>1</v>
      </c>
      <c r="D7" s="572"/>
    </row>
    <row r="8" spans="1:4" ht="12.75">
      <c r="A8" s="574" t="s">
        <v>299</v>
      </c>
      <c r="B8" s="574"/>
      <c r="C8" s="574" t="s">
        <v>161</v>
      </c>
      <c r="D8" s="574"/>
    </row>
    <row r="9" spans="1:4" ht="12.75">
      <c r="A9" s="294" t="s">
        <v>162</v>
      </c>
      <c r="B9" s="294" t="s">
        <v>98</v>
      </c>
      <c r="C9" s="294" t="s">
        <v>162</v>
      </c>
      <c r="D9" s="294" t="s">
        <v>98</v>
      </c>
    </row>
    <row r="10" spans="1:4" ht="12.75">
      <c r="A10" s="266" t="s">
        <v>300</v>
      </c>
      <c r="B10" s="267"/>
      <c r="C10" s="268"/>
      <c r="D10" s="267"/>
    </row>
    <row r="11" spans="1:4" ht="12.75">
      <c r="A11" s="266" t="s">
        <v>301</v>
      </c>
      <c r="B11" s="267"/>
      <c r="C11" s="268"/>
      <c r="D11" s="267"/>
    </row>
    <row r="12" spans="1:4" ht="12.75">
      <c r="A12" s="266" t="s">
        <v>302</v>
      </c>
      <c r="B12" s="267"/>
      <c r="C12" s="268"/>
      <c r="D12" s="267"/>
    </row>
    <row r="13" spans="1:4" ht="12.75">
      <c r="A13" s="266" t="s">
        <v>303</v>
      </c>
      <c r="B13" s="267"/>
      <c r="C13" s="268"/>
      <c r="D13" s="267"/>
    </row>
    <row r="14" spans="1:4" ht="12.75">
      <c r="A14" s="266" t="s">
        <v>304</v>
      </c>
      <c r="B14" s="267"/>
      <c r="C14" s="268"/>
      <c r="D14" s="267"/>
    </row>
    <row r="15" spans="1:4" ht="12.75">
      <c r="A15" s="266" t="s">
        <v>305</v>
      </c>
      <c r="B15" s="267"/>
      <c r="C15" s="268"/>
      <c r="D15" s="267"/>
    </row>
    <row r="16" spans="1:4" ht="12.75">
      <c r="A16" s="297" t="s">
        <v>306</v>
      </c>
      <c r="B16" s="298">
        <f>SUM(B10:B15)</f>
        <v>0</v>
      </c>
      <c r="C16" s="295" t="s">
        <v>306</v>
      </c>
      <c r="D16" s="296">
        <f>SUM(D10:D15)</f>
        <v>0</v>
      </c>
    </row>
    <row r="17" spans="1:4" ht="12.75">
      <c r="A17" s="575"/>
      <c r="B17" s="575"/>
      <c r="C17" s="576"/>
      <c r="D17" s="577"/>
    </row>
    <row r="18" spans="1:4" ht="12.75">
      <c r="A18" s="573" t="s">
        <v>307</v>
      </c>
      <c r="B18" s="573"/>
      <c r="C18" s="574" t="s">
        <v>161</v>
      </c>
      <c r="D18" s="574"/>
    </row>
    <row r="19" spans="1:4" ht="12.75">
      <c r="A19" s="294" t="s">
        <v>162</v>
      </c>
      <c r="B19" s="294" t="s">
        <v>98</v>
      </c>
      <c r="C19" s="294" t="s">
        <v>162</v>
      </c>
      <c r="D19" s="294" t="s">
        <v>98</v>
      </c>
    </row>
    <row r="20" spans="1:4" ht="12.75">
      <c r="A20" s="269" t="s">
        <v>308</v>
      </c>
      <c r="B20" s="270"/>
      <c r="C20" s="271"/>
      <c r="D20" s="270"/>
    </row>
    <row r="21" spans="1:4" ht="12.75">
      <c r="A21" s="269" t="s">
        <v>309</v>
      </c>
      <c r="B21" s="270"/>
      <c r="C21" s="271"/>
      <c r="D21" s="270"/>
    </row>
    <row r="22" spans="1:4" ht="12.75">
      <c r="A22" s="269" t="s">
        <v>310</v>
      </c>
      <c r="B22" s="270"/>
      <c r="C22" s="271"/>
      <c r="D22" s="270"/>
    </row>
    <row r="23" spans="1:4" ht="12.75">
      <c r="A23" s="269" t="s">
        <v>311</v>
      </c>
      <c r="B23" s="270"/>
      <c r="C23" s="271"/>
      <c r="D23" s="270"/>
    </row>
    <row r="24" spans="1:4" ht="12.75">
      <c r="A24" s="269" t="s">
        <v>306</v>
      </c>
      <c r="B24" s="270">
        <f>SUM(B20:B23)</f>
        <v>0</v>
      </c>
      <c r="C24" s="269" t="s">
        <v>306</v>
      </c>
      <c r="D24" s="270">
        <f>SUM(D20:D23)</f>
        <v>0</v>
      </c>
    </row>
    <row r="25" spans="1:4" ht="12.75">
      <c r="A25" s="295" t="s">
        <v>130</v>
      </c>
      <c r="B25" s="296">
        <f>B16+B24</f>
        <v>0</v>
      </c>
      <c r="C25" s="295" t="s">
        <v>130</v>
      </c>
      <c r="D25" s="296">
        <f>D16+D24</f>
        <v>0</v>
      </c>
    </row>
  </sheetData>
  <sheetProtection/>
  <mergeCells count="14">
    <mergeCell ref="A7:B7"/>
    <mergeCell ref="C7:D7"/>
    <mergeCell ref="A18:B18"/>
    <mergeCell ref="C18:D18"/>
    <mergeCell ref="A8:B8"/>
    <mergeCell ref="C8:D8"/>
    <mergeCell ref="A17:B17"/>
    <mergeCell ref="C17:D17"/>
    <mergeCell ref="A1:D1"/>
    <mergeCell ref="A2:D2"/>
    <mergeCell ref="A3:D3"/>
    <mergeCell ref="A4:D4"/>
    <mergeCell ref="A5:D5"/>
    <mergeCell ref="A6:D6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7">
      <selection activeCell="G9" sqref="G9"/>
    </sheetView>
  </sheetViews>
  <sheetFormatPr defaultColWidth="9.140625" defaultRowHeight="12.75"/>
  <cols>
    <col min="2" max="2" width="50.00390625" style="0" customWidth="1"/>
    <col min="3" max="3" width="9.8515625" style="0" customWidth="1"/>
    <col min="4" max="4" width="12.00390625" style="0" customWidth="1"/>
    <col min="5" max="5" width="20.28125" style="0" customWidth="1"/>
  </cols>
  <sheetData>
    <row r="1" spans="1:5" ht="12.75">
      <c r="A1" s="578" t="s">
        <v>412</v>
      </c>
      <c r="B1" s="579"/>
      <c r="C1" s="579"/>
      <c r="D1" s="579"/>
      <c r="E1" s="580"/>
    </row>
    <row r="2" spans="1:5" ht="12.75">
      <c r="A2" s="581" t="s">
        <v>351</v>
      </c>
      <c r="B2" s="398"/>
      <c r="C2" s="398"/>
      <c r="D2" s="398"/>
      <c r="E2" s="582"/>
    </row>
    <row r="3" spans="1:5" ht="12.75">
      <c r="A3" s="340"/>
      <c r="B3" s="341"/>
      <c r="C3" s="341"/>
      <c r="D3" s="341"/>
      <c r="E3" s="342"/>
    </row>
    <row r="4" spans="1:5" ht="12.75">
      <c r="A4" s="583" t="s">
        <v>352</v>
      </c>
      <c r="B4" s="584"/>
      <c r="C4" s="341"/>
      <c r="D4" s="341"/>
      <c r="E4" s="342"/>
    </row>
    <row r="5" spans="1:5" ht="12.75">
      <c r="A5" s="583" t="s">
        <v>353</v>
      </c>
      <c r="B5" s="398"/>
      <c r="C5" s="341"/>
      <c r="D5" s="341"/>
      <c r="E5" s="342"/>
    </row>
    <row r="6" spans="1:5" ht="13.5" thickBot="1">
      <c r="A6" s="343"/>
      <c r="B6" s="344"/>
      <c r="C6" s="344"/>
      <c r="D6" s="344"/>
      <c r="E6" s="345"/>
    </row>
    <row r="7" spans="1:5" ht="12.75">
      <c r="A7" s="585" t="s">
        <v>354</v>
      </c>
      <c r="B7" s="346" t="s">
        <v>355</v>
      </c>
      <c r="C7" s="585" t="s">
        <v>356</v>
      </c>
      <c r="D7" s="588"/>
      <c r="E7" s="346"/>
    </row>
    <row r="8" spans="1:5" ht="12.75">
      <c r="A8" s="586"/>
      <c r="B8" s="347"/>
      <c r="C8" s="586"/>
      <c r="D8" s="589"/>
      <c r="E8" s="347">
        <v>2017</v>
      </c>
    </row>
    <row r="9" spans="1:5" ht="13.5" thickBot="1">
      <c r="A9" s="587"/>
      <c r="B9" s="348" t="s">
        <v>357</v>
      </c>
      <c r="C9" s="587"/>
      <c r="D9" s="590"/>
      <c r="E9" s="349"/>
    </row>
    <row r="10" spans="1:5" ht="12.75">
      <c r="A10" s="591"/>
      <c r="B10" s="591"/>
      <c r="C10" s="591"/>
      <c r="D10" s="350" t="s">
        <v>358</v>
      </c>
      <c r="E10" s="591"/>
    </row>
    <row r="11" spans="1:5" ht="13.5" thickBot="1">
      <c r="A11" s="592"/>
      <c r="B11" s="592"/>
      <c r="C11" s="592"/>
      <c r="D11" s="351" t="s">
        <v>98</v>
      </c>
      <c r="E11" s="592"/>
    </row>
    <row r="12" spans="1:5" ht="12.75">
      <c r="A12" s="591"/>
      <c r="B12" s="591"/>
      <c r="C12" s="591"/>
      <c r="D12" s="350" t="s">
        <v>358</v>
      </c>
      <c r="E12" s="591"/>
    </row>
    <row r="13" spans="1:5" ht="13.5" thickBot="1">
      <c r="A13" s="592"/>
      <c r="B13" s="592"/>
      <c r="C13" s="592"/>
      <c r="D13" s="351" t="s">
        <v>98</v>
      </c>
      <c r="E13" s="592"/>
    </row>
    <row r="14" spans="1:5" ht="12.75">
      <c r="A14" s="591"/>
      <c r="B14" s="591"/>
      <c r="C14" s="591"/>
      <c r="D14" s="350" t="s">
        <v>358</v>
      </c>
      <c r="E14" s="591"/>
    </row>
    <row r="15" spans="1:5" ht="13.5" thickBot="1">
      <c r="A15" s="592"/>
      <c r="B15" s="592"/>
      <c r="C15" s="592"/>
      <c r="D15" s="351" t="s">
        <v>98</v>
      </c>
      <c r="E15" s="592"/>
    </row>
    <row r="16" spans="1:5" ht="12.75">
      <c r="A16" s="591"/>
      <c r="B16" s="591"/>
      <c r="C16" s="591"/>
      <c r="D16" s="350" t="s">
        <v>358</v>
      </c>
      <c r="E16" s="591"/>
    </row>
    <row r="17" spans="1:5" ht="13.5" thickBot="1">
      <c r="A17" s="592"/>
      <c r="B17" s="592"/>
      <c r="C17" s="592"/>
      <c r="D17" s="351" t="s">
        <v>98</v>
      </c>
      <c r="E17" s="592"/>
    </row>
    <row r="18" spans="1:5" ht="12.75">
      <c r="A18" s="591"/>
      <c r="B18" s="591"/>
      <c r="C18" s="591"/>
      <c r="D18" s="350" t="s">
        <v>358</v>
      </c>
      <c r="E18" s="591"/>
    </row>
    <row r="19" spans="1:5" ht="13.5" thickBot="1">
      <c r="A19" s="592"/>
      <c r="B19" s="592"/>
      <c r="C19" s="592"/>
      <c r="D19" s="351" t="s">
        <v>98</v>
      </c>
      <c r="E19" s="592"/>
    </row>
    <row r="20" spans="1:5" ht="12.75">
      <c r="A20" s="591"/>
      <c r="B20" s="591"/>
      <c r="C20" s="591"/>
      <c r="D20" s="350" t="s">
        <v>358</v>
      </c>
      <c r="E20" s="591"/>
    </row>
    <row r="21" spans="1:5" ht="13.5" thickBot="1">
      <c r="A21" s="592"/>
      <c r="B21" s="592"/>
      <c r="C21" s="592"/>
      <c r="D21" s="351" t="s">
        <v>98</v>
      </c>
      <c r="E21" s="592"/>
    </row>
    <row r="22" spans="1:5" ht="12.75">
      <c r="A22" s="591"/>
      <c r="B22" s="591"/>
      <c r="C22" s="591"/>
      <c r="D22" s="350" t="s">
        <v>358</v>
      </c>
      <c r="E22" s="591"/>
    </row>
    <row r="23" spans="1:5" ht="13.5" thickBot="1">
      <c r="A23" s="592"/>
      <c r="B23" s="592"/>
      <c r="C23" s="592"/>
      <c r="D23" s="351" t="s">
        <v>98</v>
      </c>
      <c r="E23" s="592"/>
    </row>
    <row r="24" spans="1:5" ht="12.75">
      <c r="A24" s="591"/>
      <c r="B24" s="591"/>
      <c r="C24" s="591"/>
      <c r="D24" s="350" t="s">
        <v>358</v>
      </c>
      <c r="E24" s="591"/>
    </row>
    <row r="25" spans="1:5" ht="13.5" thickBot="1">
      <c r="A25" s="592"/>
      <c r="B25" s="592"/>
      <c r="C25" s="592"/>
      <c r="D25" s="351" t="s">
        <v>98</v>
      </c>
      <c r="E25" s="592"/>
    </row>
    <row r="26" spans="1:5" ht="12.75">
      <c r="A26" s="591"/>
      <c r="B26" s="591"/>
      <c r="C26" s="591"/>
      <c r="D26" s="350" t="s">
        <v>358</v>
      </c>
      <c r="E26" s="591"/>
    </row>
    <row r="27" spans="1:5" ht="13.5" thickBot="1">
      <c r="A27" s="592"/>
      <c r="B27" s="592"/>
      <c r="C27" s="592"/>
      <c r="D27" s="351" t="s">
        <v>98</v>
      </c>
      <c r="E27" s="592"/>
    </row>
    <row r="28" spans="1:5" ht="12.75">
      <c r="A28" s="591"/>
      <c r="B28" s="591"/>
      <c r="C28" s="591"/>
      <c r="D28" s="350" t="s">
        <v>358</v>
      </c>
      <c r="E28" s="591"/>
    </row>
    <row r="29" spans="1:5" ht="13.5" thickBot="1">
      <c r="A29" s="592"/>
      <c r="B29" s="592"/>
      <c r="C29" s="592"/>
      <c r="D29" s="351" t="s">
        <v>98</v>
      </c>
      <c r="E29" s="592"/>
    </row>
    <row r="30" spans="1:5" ht="12.75">
      <c r="A30" s="591"/>
      <c r="B30" s="591"/>
      <c r="C30" s="591"/>
      <c r="D30" s="350" t="s">
        <v>358</v>
      </c>
      <c r="E30" s="591"/>
    </row>
    <row r="31" spans="1:5" ht="13.5" thickBot="1">
      <c r="A31" s="592"/>
      <c r="B31" s="592"/>
      <c r="C31" s="592"/>
      <c r="D31" s="351" t="s">
        <v>98</v>
      </c>
      <c r="E31" s="592"/>
    </row>
    <row r="32" spans="1:5" ht="12.75">
      <c r="A32" s="591"/>
      <c r="B32" s="591"/>
      <c r="C32" s="591"/>
      <c r="D32" s="350" t="s">
        <v>358</v>
      </c>
      <c r="E32" s="591"/>
    </row>
    <row r="33" spans="1:5" ht="13.5" thickBot="1">
      <c r="A33" s="592"/>
      <c r="B33" s="592"/>
      <c r="C33" s="592"/>
      <c r="D33" s="350" t="s">
        <v>98</v>
      </c>
      <c r="E33" s="592"/>
    </row>
    <row r="34" spans="1:5" ht="13.5" thickBot="1">
      <c r="A34" s="593" t="s">
        <v>359</v>
      </c>
      <c r="B34" s="594"/>
      <c r="C34" s="594"/>
      <c r="D34" s="595"/>
      <c r="E34" s="352"/>
    </row>
    <row r="35" spans="1:2" ht="12.75">
      <c r="A35" s="353" t="s">
        <v>360</v>
      </c>
      <c r="B35" s="353" t="s">
        <v>361</v>
      </c>
    </row>
  </sheetData>
  <sheetProtection/>
  <mergeCells count="56">
    <mergeCell ref="E32:E33"/>
    <mergeCell ref="A30:A31"/>
    <mergeCell ref="B30:B31"/>
    <mergeCell ref="C30:C31"/>
    <mergeCell ref="E30:E31"/>
    <mergeCell ref="A34:D34"/>
    <mergeCell ref="A32:A33"/>
    <mergeCell ref="B32:B33"/>
    <mergeCell ref="C32:C33"/>
    <mergeCell ref="A26:A27"/>
    <mergeCell ref="B26:B27"/>
    <mergeCell ref="C26:C27"/>
    <mergeCell ref="E26:E27"/>
    <mergeCell ref="A28:A29"/>
    <mergeCell ref="B28:B29"/>
    <mergeCell ref="C28:C29"/>
    <mergeCell ref="E28:E29"/>
    <mergeCell ref="A22:A23"/>
    <mergeCell ref="B22:B23"/>
    <mergeCell ref="C22:C23"/>
    <mergeCell ref="E22:E23"/>
    <mergeCell ref="A24:A25"/>
    <mergeCell ref="B24:B25"/>
    <mergeCell ref="C24:C25"/>
    <mergeCell ref="E24:E25"/>
    <mergeCell ref="A18:A19"/>
    <mergeCell ref="B18:B19"/>
    <mergeCell ref="C18:C19"/>
    <mergeCell ref="E18:E19"/>
    <mergeCell ref="A20:A21"/>
    <mergeCell ref="B20:B21"/>
    <mergeCell ref="C20:C21"/>
    <mergeCell ref="E20:E21"/>
    <mergeCell ref="A14:A15"/>
    <mergeCell ref="B14:B15"/>
    <mergeCell ref="C14:C15"/>
    <mergeCell ref="E14:E15"/>
    <mergeCell ref="A16:A17"/>
    <mergeCell ref="B16:B17"/>
    <mergeCell ref="C16:C17"/>
    <mergeCell ref="E16:E17"/>
    <mergeCell ref="A10:A11"/>
    <mergeCell ref="B10:B11"/>
    <mergeCell ref="C10:C11"/>
    <mergeCell ref="E10:E11"/>
    <mergeCell ref="A12:A13"/>
    <mergeCell ref="B12:B13"/>
    <mergeCell ref="C12:C13"/>
    <mergeCell ref="E12:E13"/>
    <mergeCell ref="A1:E1"/>
    <mergeCell ref="A2:E2"/>
    <mergeCell ref="A4:B4"/>
    <mergeCell ref="A5:B5"/>
    <mergeCell ref="A7:A9"/>
    <mergeCell ref="C7:C9"/>
    <mergeCell ref="D7:D9"/>
  </mergeCells>
  <printOptions/>
  <pageMargins left="0.787401575" right="0.787401575" top="0.984251969" bottom="0.984251969" header="0.492125985" footer="0.49212598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E20" sqref="E20"/>
    </sheetView>
  </sheetViews>
  <sheetFormatPr defaultColWidth="9.140625" defaultRowHeight="12.75"/>
  <cols>
    <col min="3" max="3" width="12.28125" style="0" customWidth="1"/>
    <col min="4" max="5" width="11.28125" style="0" customWidth="1"/>
    <col min="6" max="6" width="12.421875" style="0" customWidth="1"/>
    <col min="7" max="7" width="10.8515625" style="0" customWidth="1"/>
    <col min="8" max="8" width="19.140625" style="0" customWidth="1"/>
    <col min="10" max="10" width="8.140625" style="0" customWidth="1"/>
    <col min="11" max="11" width="3.7109375" style="0" customWidth="1"/>
    <col min="12" max="12" width="15.8515625" style="0" customWidth="1"/>
  </cols>
  <sheetData>
    <row r="1" spans="1:12" ht="12.75">
      <c r="A1" s="598" t="s">
        <v>362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600"/>
    </row>
    <row r="2" spans="1:12" ht="13.5" thickBot="1">
      <c r="A2" s="601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3"/>
    </row>
    <row r="3" spans="1:12" ht="12.75">
      <c r="A3" s="604" t="s">
        <v>413</v>
      </c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6"/>
    </row>
    <row r="4" spans="1:12" ht="12.75">
      <c r="A4" s="607" t="s">
        <v>363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9"/>
    </row>
    <row r="5" spans="1:12" ht="13.5" thickBot="1">
      <c r="A5" s="610" t="s">
        <v>364</v>
      </c>
      <c r="B5" s="611"/>
      <c r="C5" s="611"/>
      <c r="D5" s="611"/>
      <c r="E5" s="611"/>
      <c r="F5" s="611"/>
      <c r="G5" s="611"/>
      <c r="H5" s="611"/>
      <c r="I5" s="611"/>
      <c r="J5" s="611"/>
      <c r="K5" s="611"/>
      <c r="L5" s="612"/>
    </row>
    <row r="6" spans="1:12" ht="13.5" thickBot="1">
      <c r="A6" s="613" t="s">
        <v>365</v>
      </c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5"/>
    </row>
    <row r="7" spans="1:12" ht="13.5" thickBot="1">
      <c r="A7" s="616"/>
      <c r="B7" s="617"/>
      <c r="C7" s="354"/>
      <c r="D7" s="354"/>
      <c r="E7" s="613" t="s">
        <v>366</v>
      </c>
      <c r="F7" s="614"/>
      <c r="G7" s="615"/>
      <c r="H7" s="613" t="s">
        <v>417</v>
      </c>
      <c r="I7" s="614"/>
      <c r="J7" s="614"/>
      <c r="K7" s="614"/>
      <c r="L7" s="615"/>
    </row>
    <row r="8" spans="1:12" ht="12.75">
      <c r="A8" s="604" t="s">
        <v>367</v>
      </c>
      <c r="B8" s="606"/>
      <c r="C8" s="596" t="s">
        <v>368</v>
      </c>
      <c r="D8" s="596" t="s">
        <v>369</v>
      </c>
      <c r="E8" s="596" t="s">
        <v>414</v>
      </c>
      <c r="F8" s="596" t="s">
        <v>415</v>
      </c>
      <c r="G8" s="596" t="s">
        <v>416</v>
      </c>
      <c r="H8" s="596" t="s">
        <v>370</v>
      </c>
      <c r="I8" s="604" t="s">
        <v>389</v>
      </c>
      <c r="J8" s="605"/>
      <c r="K8" s="606"/>
      <c r="L8" s="596" t="s">
        <v>371</v>
      </c>
    </row>
    <row r="9" spans="1:12" ht="29.25" customHeight="1" thickBot="1">
      <c r="A9" s="610"/>
      <c r="B9" s="612"/>
      <c r="C9" s="597"/>
      <c r="D9" s="597"/>
      <c r="E9" s="597"/>
      <c r="F9" s="597"/>
      <c r="G9" s="597"/>
      <c r="H9" s="597"/>
      <c r="I9" s="610"/>
      <c r="J9" s="611"/>
      <c r="K9" s="612"/>
      <c r="L9" s="597"/>
    </row>
    <row r="10" spans="1:12" ht="13.5" thickBot="1">
      <c r="A10" s="616"/>
      <c r="B10" s="617"/>
      <c r="C10" s="355"/>
      <c r="D10" s="355"/>
      <c r="E10" s="354"/>
      <c r="F10" s="354"/>
      <c r="G10" s="354"/>
      <c r="H10" s="356"/>
      <c r="I10" s="618"/>
      <c r="J10" s="619"/>
      <c r="K10" s="620"/>
      <c r="L10" s="356"/>
    </row>
    <row r="11" spans="1:12" ht="13.5" thickBot="1">
      <c r="A11" s="616"/>
      <c r="B11" s="617"/>
      <c r="C11" s="354"/>
      <c r="D11" s="357"/>
      <c r="E11" s="354"/>
      <c r="F11" s="354"/>
      <c r="G11" s="354"/>
      <c r="H11" s="358"/>
      <c r="I11" s="621"/>
      <c r="J11" s="622"/>
      <c r="K11" s="623"/>
      <c r="L11" s="358"/>
    </row>
    <row r="12" spans="1:12" ht="13.5" thickBot="1">
      <c r="A12" s="616"/>
      <c r="B12" s="617"/>
      <c r="C12" s="354"/>
      <c r="D12" s="357"/>
      <c r="E12" s="354"/>
      <c r="F12" s="354"/>
      <c r="G12" s="354"/>
      <c r="H12" s="358"/>
      <c r="I12" s="621"/>
      <c r="J12" s="622"/>
      <c r="K12" s="623"/>
      <c r="L12" s="358"/>
    </row>
    <row r="13" spans="1:12" ht="13.5" thickBot="1">
      <c r="A13" s="616"/>
      <c r="B13" s="617"/>
      <c r="C13" s="354"/>
      <c r="D13" s="357"/>
      <c r="E13" s="354"/>
      <c r="F13" s="354"/>
      <c r="G13" s="354"/>
      <c r="H13" s="358"/>
      <c r="I13" s="621"/>
      <c r="J13" s="622"/>
      <c r="K13" s="623"/>
      <c r="L13" s="358"/>
    </row>
    <row r="14" spans="1:12" ht="13.5" thickBot="1">
      <c r="A14" s="616"/>
      <c r="B14" s="617"/>
      <c r="C14" s="354"/>
      <c r="D14" s="357"/>
      <c r="E14" s="354"/>
      <c r="F14" s="354"/>
      <c r="G14" s="354"/>
      <c r="H14" s="358"/>
      <c r="I14" s="621"/>
      <c r="J14" s="622"/>
      <c r="K14" s="623"/>
      <c r="L14" s="358"/>
    </row>
    <row r="15" spans="1:12" ht="13.5" thickBot="1">
      <c r="A15" s="616"/>
      <c r="B15" s="617"/>
      <c r="C15" s="354"/>
      <c r="D15" s="357"/>
      <c r="E15" s="354"/>
      <c r="F15" s="354"/>
      <c r="G15" s="354"/>
      <c r="H15" s="358"/>
      <c r="I15" s="621"/>
      <c r="J15" s="622"/>
      <c r="K15" s="623"/>
      <c r="L15" s="358"/>
    </row>
    <row r="16" spans="1:12" ht="13.5" thickBot="1">
      <c r="A16" s="616"/>
      <c r="B16" s="617"/>
      <c r="C16" s="354"/>
      <c r="D16" s="357"/>
      <c r="E16" s="354"/>
      <c r="F16" s="354"/>
      <c r="G16" s="354"/>
      <c r="H16" s="358"/>
      <c r="I16" s="621"/>
      <c r="J16" s="622"/>
      <c r="K16" s="623"/>
      <c r="L16" s="358"/>
    </row>
    <row r="17" spans="1:12" ht="13.5" thickBot="1">
      <c r="A17" s="616"/>
      <c r="B17" s="617"/>
      <c r="C17" s="354"/>
      <c r="D17" s="357"/>
      <c r="E17" s="354"/>
      <c r="F17" s="354"/>
      <c r="G17" s="354"/>
      <c r="H17" s="358"/>
      <c r="I17" s="621"/>
      <c r="J17" s="622"/>
      <c r="K17" s="623"/>
      <c r="L17" s="358"/>
    </row>
    <row r="18" spans="1:12" ht="13.5" thickBot="1">
      <c r="A18" s="616"/>
      <c r="B18" s="617"/>
      <c r="C18" s="354"/>
      <c r="D18" s="357"/>
      <c r="E18" s="354"/>
      <c r="F18" s="354"/>
      <c r="G18" s="354"/>
      <c r="H18" s="358"/>
      <c r="I18" s="621"/>
      <c r="J18" s="622"/>
      <c r="K18" s="623"/>
      <c r="L18" s="358"/>
    </row>
    <row r="19" spans="1:12" ht="13.5" thickBot="1">
      <c r="A19" s="616"/>
      <c r="B19" s="617"/>
      <c r="C19" s="354"/>
      <c r="D19" s="357"/>
      <c r="E19" s="354"/>
      <c r="F19" s="354"/>
      <c r="G19" s="354"/>
      <c r="H19" s="358"/>
      <c r="I19" s="621"/>
      <c r="J19" s="622"/>
      <c r="K19" s="623"/>
      <c r="L19" s="358"/>
    </row>
    <row r="20" spans="1:12" ht="13.5" thickBot="1">
      <c r="A20" s="616"/>
      <c r="B20" s="617"/>
      <c r="C20" s="354"/>
      <c r="D20" s="357"/>
      <c r="E20" s="354"/>
      <c r="F20" s="354"/>
      <c r="G20" s="354"/>
      <c r="H20" s="358"/>
      <c r="I20" s="621"/>
      <c r="J20" s="622"/>
      <c r="K20" s="623"/>
      <c r="L20" s="358"/>
    </row>
    <row r="21" spans="1:12" ht="13.5" thickBot="1">
      <c r="A21" s="616"/>
      <c r="B21" s="617"/>
      <c r="C21" s="354"/>
      <c r="D21" s="357"/>
      <c r="E21" s="354"/>
      <c r="F21" s="354"/>
      <c r="G21" s="354"/>
      <c r="H21" s="358"/>
      <c r="I21" s="621"/>
      <c r="J21" s="622"/>
      <c r="K21" s="623"/>
      <c r="L21" s="358"/>
    </row>
    <row r="22" spans="1:12" ht="13.5" thickBot="1">
      <c r="A22" s="616"/>
      <c r="B22" s="617"/>
      <c r="C22" s="354"/>
      <c r="D22" s="357"/>
      <c r="E22" s="354"/>
      <c r="F22" s="354"/>
      <c r="G22" s="354"/>
      <c r="H22" s="358"/>
      <c r="I22" s="621"/>
      <c r="J22" s="622"/>
      <c r="K22" s="623"/>
      <c r="L22" s="358"/>
    </row>
    <row r="23" spans="1:12" ht="13.5" thickBot="1">
      <c r="A23" s="616"/>
      <c r="B23" s="617"/>
      <c r="C23" s="354"/>
      <c r="D23" s="357"/>
      <c r="E23" s="354"/>
      <c r="F23" s="354"/>
      <c r="G23" s="354"/>
      <c r="H23" s="358"/>
      <c r="I23" s="621"/>
      <c r="J23" s="622"/>
      <c r="K23" s="623"/>
      <c r="L23" s="358"/>
    </row>
    <row r="24" spans="1:12" ht="13.5" thickBot="1">
      <c r="A24" s="616"/>
      <c r="B24" s="617"/>
      <c r="C24" s="354"/>
      <c r="D24" s="357"/>
      <c r="E24" s="354"/>
      <c r="F24" s="354"/>
      <c r="G24" s="354"/>
      <c r="H24" s="358"/>
      <c r="I24" s="621"/>
      <c r="J24" s="622"/>
      <c r="K24" s="623"/>
      <c r="L24" s="358"/>
    </row>
    <row r="25" spans="1:12" ht="13.5" thickBot="1">
      <c r="A25" s="616"/>
      <c r="B25" s="617"/>
      <c r="C25" s="354"/>
      <c r="D25" s="357"/>
      <c r="E25" s="354"/>
      <c r="F25" s="354"/>
      <c r="G25" s="354"/>
      <c r="H25" s="358"/>
      <c r="I25" s="621"/>
      <c r="J25" s="622"/>
      <c r="K25" s="623"/>
      <c r="L25" s="358"/>
    </row>
    <row r="26" spans="1:12" ht="13.5" thickBot="1">
      <c r="A26" s="616"/>
      <c r="B26" s="617"/>
      <c r="C26" s="354"/>
      <c r="D26" s="357"/>
      <c r="E26" s="354"/>
      <c r="F26" s="354"/>
      <c r="G26" s="354"/>
      <c r="H26" s="358"/>
      <c r="I26" s="621"/>
      <c r="J26" s="622"/>
      <c r="K26" s="623"/>
      <c r="L26" s="358"/>
    </row>
    <row r="27" spans="1:12" ht="13.5" thickBot="1">
      <c r="A27" s="624" t="s">
        <v>372</v>
      </c>
      <c r="B27" s="625"/>
      <c r="C27" s="625"/>
      <c r="D27" s="625"/>
      <c r="E27" s="625"/>
      <c r="F27" s="625"/>
      <c r="G27" s="626"/>
      <c r="H27" s="358">
        <f>SUM(H10:H26)</f>
        <v>0</v>
      </c>
      <c r="I27" s="621">
        <v>0</v>
      </c>
      <c r="J27" s="622"/>
      <c r="K27" s="623"/>
      <c r="L27" s="358">
        <f>SUM(L10:L26)</f>
        <v>0</v>
      </c>
    </row>
  </sheetData>
  <sheetProtection/>
  <mergeCells count="53">
    <mergeCell ref="A23:B23"/>
    <mergeCell ref="I23:K23"/>
    <mergeCell ref="A24:B24"/>
    <mergeCell ref="I24:K24"/>
    <mergeCell ref="A27:G27"/>
    <mergeCell ref="I27:K27"/>
    <mergeCell ref="A25:B25"/>
    <mergeCell ref="I25:K25"/>
    <mergeCell ref="A26:B26"/>
    <mergeCell ref="I26:K26"/>
    <mergeCell ref="A20:B20"/>
    <mergeCell ref="I20:K20"/>
    <mergeCell ref="A21:B21"/>
    <mergeCell ref="I21:K21"/>
    <mergeCell ref="A22:B22"/>
    <mergeCell ref="I22:K22"/>
    <mergeCell ref="A17:B17"/>
    <mergeCell ref="I17:K17"/>
    <mergeCell ref="A18:B18"/>
    <mergeCell ref="I18:K18"/>
    <mergeCell ref="A19:B19"/>
    <mergeCell ref="I19:K19"/>
    <mergeCell ref="A14:B14"/>
    <mergeCell ref="I14:K14"/>
    <mergeCell ref="A15:B15"/>
    <mergeCell ref="I15:K15"/>
    <mergeCell ref="A16:B16"/>
    <mergeCell ref="I16:K16"/>
    <mergeCell ref="A11:B11"/>
    <mergeCell ref="I11:K11"/>
    <mergeCell ref="A12:B12"/>
    <mergeCell ref="I12:K12"/>
    <mergeCell ref="A13:B13"/>
    <mergeCell ref="I13:K13"/>
    <mergeCell ref="A10:B10"/>
    <mergeCell ref="I10:K10"/>
    <mergeCell ref="F8:F9"/>
    <mergeCell ref="G8:G9"/>
    <mergeCell ref="H8:H9"/>
    <mergeCell ref="A8:B9"/>
    <mergeCell ref="C8:C9"/>
    <mergeCell ref="I8:K9"/>
    <mergeCell ref="D8:D9"/>
    <mergeCell ref="E8:E9"/>
    <mergeCell ref="L8:L9"/>
    <mergeCell ref="A1:L2"/>
    <mergeCell ref="A3:L3"/>
    <mergeCell ref="A4:L4"/>
    <mergeCell ref="A5:L5"/>
    <mergeCell ref="A6:L6"/>
    <mergeCell ref="A7:B7"/>
    <mergeCell ref="E7:G7"/>
    <mergeCell ref="H7:L7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6"/>
  <dimension ref="A1:J41"/>
  <sheetViews>
    <sheetView showGridLines="0" zoomScale="90" zoomScaleNormal="90" zoomScalePageLayoutView="0" workbookViewId="0" topLeftCell="A1">
      <selection activeCell="G17" sqref="G17"/>
    </sheetView>
  </sheetViews>
  <sheetFormatPr defaultColWidth="32.00390625" defaultRowHeight="12.75"/>
  <cols>
    <col min="1" max="1" width="42.140625" style="97" customWidth="1"/>
    <col min="2" max="2" width="18.140625" style="98" customWidth="1"/>
    <col min="3" max="3" width="15.421875" style="104" customWidth="1"/>
    <col min="4" max="4" width="16.7109375" style="97" customWidth="1"/>
    <col min="5" max="5" width="16.28125" style="97" customWidth="1"/>
    <col min="6" max="6" width="16.140625" style="97" customWidth="1"/>
    <col min="7" max="7" width="17.00390625" style="97" customWidth="1"/>
    <col min="8" max="18" width="13.7109375" style="97" customWidth="1"/>
    <col min="19" max="16384" width="32.00390625" style="97" customWidth="1"/>
  </cols>
  <sheetData>
    <row r="1" spans="1:10" ht="12">
      <c r="A1" s="390" t="str">
        <f>Parâmetros!A7</f>
        <v>Município de :CARAÁ</v>
      </c>
      <c r="B1" s="391"/>
      <c r="C1" s="391"/>
      <c r="D1" s="391"/>
      <c r="E1" s="391"/>
      <c r="F1" s="391"/>
      <c r="G1" s="391"/>
      <c r="H1" s="391"/>
      <c r="I1" s="391"/>
      <c r="J1" s="392"/>
    </row>
    <row r="2" spans="1:10" ht="12">
      <c r="A2" s="393" t="s">
        <v>400</v>
      </c>
      <c r="B2" s="391"/>
      <c r="C2" s="391"/>
      <c r="D2" s="391"/>
      <c r="E2" s="391"/>
      <c r="F2" s="391"/>
      <c r="G2" s="391"/>
      <c r="H2" s="391"/>
      <c r="I2" s="391"/>
      <c r="J2" s="392"/>
    </row>
    <row r="3" spans="1:10" ht="12">
      <c r="A3" s="393" t="s">
        <v>221</v>
      </c>
      <c r="B3" s="391"/>
      <c r="C3" s="391"/>
      <c r="D3" s="391"/>
      <c r="E3" s="391"/>
      <c r="F3" s="391"/>
      <c r="G3" s="391"/>
      <c r="H3" s="391"/>
      <c r="I3" s="391"/>
      <c r="J3" s="392"/>
    </row>
    <row r="4" spans="1:3" ht="12">
      <c r="A4" s="99"/>
      <c r="C4" s="96"/>
    </row>
    <row r="5" spans="1:7" ht="15">
      <c r="A5" s="389" t="s">
        <v>220</v>
      </c>
      <c r="B5" s="299">
        <v>2014</v>
      </c>
      <c r="C5" s="299">
        <f>B5+1</f>
        <v>2015</v>
      </c>
      <c r="D5" s="299">
        <f>C5+1</f>
        <v>2016</v>
      </c>
      <c r="E5" s="299">
        <f>D5+1</f>
        <v>2017</v>
      </c>
      <c r="F5" s="299">
        <f>E5+1</f>
        <v>2018</v>
      </c>
      <c r="G5" s="299">
        <f>F5+1</f>
        <v>2019</v>
      </c>
    </row>
    <row r="6" spans="1:7" ht="12.75" customHeight="1">
      <c r="A6" s="389"/>
      <c r="B6" s="299" t="s">
        <v>195</v>
      </c>
      <c r="C6" s="300" t="s">
        <v>195</v>
      </c>
      <c r="D6" s="300" t="s">
        <v>196</v>
      </c>
      <c r="E6" s="300" t="s">
        <v>17</v>
      </c>
      <c r="F6" s="300" t="s">
        <v>17</v>
      </c>
      <c r="G6" s="300" t="s">
        <v>17</v>
      </c>
    </row>
    <row r="7" spans="1:7" ht="22.5" customHeight="1">
      <c r="A7" s="301" t="s">
        <v>272</v>
      </c>
      <c r="B7" s="302"/>
      <c r="C7" s="302"/>
      <c r="D7" s="302"/>
      <c r="E7" s="303">
        <f>(D7*(1+Parâmetros!E19)+Projeções!G27-Projeções!G45-Projeções!G57)</f>
        <v>-258115.08441181824</v>
      </c>
      <c r="F7" s="303">
        <f>(E7*(1+Parâmetros!F19)+Projeções!H27-Projeções!H45-Projeções!H57)</f>
        <v>-584165.0162558861</v>
      </c>
      <c r="G7" s="303">
        <f>(F7*(1+Parâmetros!G19)+Projeções!I27-Projeções!I45-Projeções!I57)</f>
        <v>-987083.7284301138</v>
      </c>
    </row>
    <row r="8" spans="1:7" ht="14.25">
      <c r="A8" s="304" t="s">
        <v>273</v>
      </c>
      <c r="B8" s="302"/>
      <c r="C8" s="302"/>
      <c r="D8" s="302"/>
      <c r="E8" s="305">
        <f>(B8+C8+D8)/3</f>
        <v>0</v>
      </c>
      <c r="F8" s="305">
        <f>(C8+D8+E8)/3</f>
        <v>0</v>
      </c>
      <c r="G8" s="305">
        <f>(D8+E8+F8)/3</f>
        <v>0</v>
      </c>
    </row>
    <row r="9" spans="1:7" ht="22.5" customHeight="1">
      <c r="A9" s="301" t="s">
        <v>274</v>
      </c>
      <c r="B9" s="305">
        <f>IF(B7-B8&lt;0,0,B7-B8)</f>
        <v>0</v>
      </c>
      <c r="C9" s="305">
        <f>IF(C7-C8&lt;0,0,C7-C8)</f>
        <v>0</v>
      </c>
      <c r="D9" s="305">
        <f>IF(D7-D8&lt;0,0,D7-D8)</f>
        <v>0</v>
      </c>
      <c r="E9" s="305">
        <f>E7-E8</f>
        <v>-258115.08441181824</v>
      </c>
      <c r="F9" s="305">
        <f>F7-F8</f>
        <v>-584165.0162558861</v>
      </c>
      <c r="G9" s="305">
        <f>G7-G8</f>
        <v>-987083.7284301138</v>
      </c>
    </row>
    <row r="10" spans="1:7" ht="22.5" customHeight="1">
      <c r="A10" s="301" t="s">
        <v>275</v>
      </c>
      <c r="B10" s="305"/>
      <c r="C10" s="305"/>
      <c r="D10" s="305"/>
      <c r="E10" s="305"/>
      <c r="F10" s="305"/>
      <c r="G10" s="305"/>
    </row>
    <row r="11" spans="1:7" ht="22.5" customHeight="1">
      <c r="A11" s="301" t="s">
        <v>276</v>
      </c>
      <c r="B11" s="305">
        <f aca="true" t="shared" si="0" ref="B11:G11">B9-B10</f>
        <v>0</v>
      </c>
      <c r="C11" s="305">
        <f t="shared" si="0"/>
        <v>0</v>
      </c>
      <c r="D11" s="305">
        <f t="shared" si="0"/>
        <v>0</v>
      </c>
      <c r="E11" s="305">
        <f t="shared" si="0"/>
        <v>-258115.08441181824</v>
      </c>
      <c r="F11" s="305">
        <f t="shared" si="0"/>
        <v>-584165.0162558861</v>
      </c>
      <c r="G11" s="305">
        <f t="shared" si="0"/>
        <v>-987083.7284301138</v>
      </c>
    </row>
    <row r="12" spans="1:7" s="100" customFormat="1" ht="21.75" customHeight="1">
      <c r="A12" s="301" t="s">
        <v>277</v>
      </c>
      <c r="B12" s="302"/>
      <c r="C12" s="305">
        <f>C11-B11</f>
        <v>0</v>
      </c>
      <c r="D12" s="305">
        <f>D11-C11</f>
        <v>0</v>
      </c>
      <c r="E12" s="305">
        <f>E11-D11</f>
        <v>-258115.08441181824</v>
      </c>
      <c r="F12" s="305">
        <f>F11-E11</f>
        <v>-326049.9318440678</v>
      </c>
      <c r="G12" s="305">
        <f>G11-F11</f>
        <v>-402918.7121742277</v>
      </c>
    </row>
    <row r="13" spans="1:7" s="101" customFormat="1" ht="15">
      <c r="A13" s="178"/>
      <c r="B13" s="179"/>
      <c r="C13" s="179"/>
      <c r="D13" s="179"/>
      <c r="E13" s="179"/>
      <c r="F13" s="179"/>
      <c r="G13" s="179"/>
    </row>
    <row r="14" spans="1:7" ht="15">
      <c r="A14" s="180" t="s">
        <v>296</v>
      </c>
      <c r="B14" s="306"/>
      <c r="C14" s="181"/>
      <c r="D14" s="181"/>
      <c r="E14" s="181"/>
      <c r="F14" s="181"/>
      <c r="G14" s="182" t="s">
        <v>11</v>
      </c>
    </row>
    <row r="15" spans="1:7" ht="15">
      <c r="A15" s="389" t="s">
        <v>244</v>
      </c>
      <c r="B15" s="299">
        <v>2014</v>
      </c>
      <c r="C15" s="299">
        <f>B15+1</f>
        <v>2015</v>
      </c>
      <c r="D15" s="299">
        <f>C15+1</f>
        <v>2016</v>
      </c>
      <c r="E15" s="299">
        <f>D15+1</f>
        <v>2017</v>
      </c>
      <c r="F15" s="299">
        <f>E15+1</f>
        <v>2018</v>
      </c>
      <c r="G15" s="299">
        <f>F15+1</f>
        <v>2019</v>
      </c>
    </row>
    <row r="16" spans="1:7" ht="15">
      <c r="A16" s="389"/>
      <c r="B16" s="299" t="s">
        <v>16</v>
      </c>
      <c r="C16" s="300" t="s">
        <v>16</v>
      </c>
      <c r="D16" s="300" t="s">
        <v>196</v>
      </c>
      <c r="E16" s="300" t="s">
        <v>17</v>
      </c>
      <c r="F16" s="300" t="s">
        <v>17</v>
      </c>
      <c r="G16" s="300" t="s">
        <v>17</v>
      </c>
    </row>
    <row r="17" spans="1:7" s="102" customFormat="1" ht="15">
      <c r="A17" s="326" t="s">
        <v>46</v>
      </c>
      <c r="B17" s="307">
        <f>Plano!D21</f>
        <v>0</v>
      </c>
      <c r="C17" s="307">
        <f>Plano!E21</f>
        <v>0</v>
      </c>
      <c r="D17" s="307">
        <f>Plano!F21</f>
        <v>0</v>
      </c>
      <c r="E17" s="308"/>
      <c r="F17" s="308"/>
      <c r="G17" s="308"/>
    </row>
    <row r="18" spans="1:7" ht="15">
      <c r="A18" s="301" t="s">
        <v>44</v>
      </c>
      <c r="B18" s="303">
        <f>Plano!D37</f>
        <v>22710.27</v>
      </c>
      <c r="C18" s="303">
        <f>Plano!E37</f>
        <v>32679.25</v>
      </c>
      <c r="D18" s="303">
        <f>Plano!F37</f>
        <v>37581.1375</v>
      </c>
      <c r="E18" s="303">
        <f>Projeções!G44</f>
        <v>44217.08811131663</v>
      </c>
      <c r="F18" s="303">
        <f>Projeções!H44</f>
        <v>51194.36597824643</v>
      </c>
      <c r="G18" s="303">
        <f>Projeções!I44</f>
        <v>58935.80598840717</v>
      </c>
    </row>
    <row r="19" spans="1:7" ht="15">
      <c r="A19" s="301" t="s">
        <v>45</v>
      </c>
      <c r="B19" s="303">
        <f>Plano!D50</f>
        <v>224510.01</v>
      </c>
      <c r="C19" s="303">
        <f>Plano!E50</f>
        <v>158084.27</v>
      </c>
      <c r="D19" s="303">
        <f>Plano!F50</f>
        <v>181796.91049999997</v>
      </c>
      <c r="E19" s="303">
        <f>Projeções!G57</f>
        <v>213897.9963005016</v>
      </c>
      <c r="F19" s="303">
        <f>Projeções!H57</f>
        <v>247650.23596881572</v>
      </c>
      <c r="G19" s="303">
        <f>Projeções!I57</f>
        <v>285099.0725472272</v>
      </c>
    </row>
    <row r="20" spans="1:7" ht="15.75" customHeight="1" hidden="1">
      <c r="A20" s="327" t="s">
        <v>41</v>
      </c>
      <c r="B20" s="309"/>
      <c r="C20" s="309"/>
      <c r="D20" s="309"/>
      <c r="E20" s="309"/>
      <c r="F20" s="309"/>
      <c r="G20" s="309"/>
    </row>
    <row r="21" spans="1:7" ht="12.75">
      <c r="A21" s="394" t="s">
        <v>393</v>
      </c>
      <c r="B21" s="395"/>
      <c r="C21" s="395"/>
      <c r="D21" s="395"/>
      <c r="E21" s="395"/>
      <c r="F21" s="395"/>
      <c r="G21" s="396"/>
    </row>
    <row r="22" spans="1:3" ht="12">
      <c r="A22" s="99"/>
      <c r="C22" s="96"/>
    </row>
    <row r="23" spans="1:3" ht="12">
      <c r="A23" s="99"/>
      <c r="C23" s="96"/>
    </row>
    <row r="24" spans="1:3" ht="12">
      <c r="A24" s="99"/>
      <c r="C24" s="96"/>
    </row>
    <row r="25" spans="1:3" ht="12">
      <c r="A25" s="99"/>
      <c r="C25" s="96"/>
    </row>
    <row r="26" spans="1:3" ht="12">
      <c r="A26" s="99"/>
      <c r="C26" s="96"/>
    </row>
    <row r="27" spans="1:3" ht="12">
      <c r="A27" s="99"/>
      <c r="C27" s="96"/>
    </row>
    <row r="28" ht="12">
      <c r="A28" s="103"/>
    </row>
    <row r="29" ht="12">
      <c r="A29" s="103"/>
    </row>
    <row r="30" ht="12">
      <c r="A30" s="103"/>
    </row>
    <row r="31" ht="12">
      <c r="A31" s="103"/>
    </row>
    <row r="32" ht="12">
      <c r="A32" s="103"/>
    </row>
    <row r="33" ht="12">
      <c r="A33" s="103"/>
    </row>
    <row r="34" ht="12">
      <c r="A34" s="103"/>
    </row>
    <row r="35" ht="12">
      <c r="A35" s="103"/>
    </row>
    <row r="36" ht="12">
      <c r="A36" s="103"/>
    </row>
    <row r="37" ht="12">
      <c r="A37" s="103"/>
    </row>
    <row r="38" ht="12">
      <c r="A38" s="103"/>
    </row>
    <row r="39" ht="12">
      <c r="A39" s="103"/>
    </row>
    <row r="40" ht="12">
      <c r="A40" s="103"/>
    </row>
    <row r="41" ht="12">
      <c r="A41" s="103"/>
    </row>
  </sheetData>
  <sheetProtection/>
  <mergeCells count="6">
    <mergeCell ref="A15:A16"/>
    <mergeCell ref="A1:J1"/>
    <mergeCell ref="A2:J2"/>
    <mergeCell ref="A3:J3"/>
    <mergeCell ref="A5:A6"/>
    <mergeCell ref="A21:G21"/>
  </mergeCells>
  <printOptions/>
  <pageMargins left="0.787401575" right="0.787401575" top="0.984251969" bottom="0.984251969" header="0.492125985" footer="0.492125985"/>
  <pageSetup horizontalDpi="200" verticalDpi="2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J112"/>
  <sheetViews>
    <sheetView zoomScale="85" zoomScaleNormal="85" zoomScaleSheetLayoutView="30" zoomScalePageLayoutView="0" workbookViewId="0" topLeftCell="A21">
      <selection activeCell="A2" sqref="A2:I60"/>
    </sheetView>
  </sheetViews>
  <sheetFormatPr defaultColWidth="19.140625" defaultRowHeight="12.75"/>
  <cols>
    <col min="1" max="1" width="19.57421875" style="9" customWidth="1"/>
    <col min="2" max="2" width="53.57421875" style="9" customWidth="1"/>
    <col min="3" max="3" width="22.57421875" style="9" customWidth="1"/>
    <col min="4" max="4" width="23.140625" style="9" customWidth="1"/>
    <col min="5" max="5" width="23.8515625" style="9" customWidth="1"/>
    <col min="6" max="6" width="20.57421875" style="9" customWidth="1"/>
    <col min="7" max="7" width="23.7109375" style="9" customWidth="1"/>
    <col min="8" max="8" width="22.00390625" style="9" customWidth="1"/>
    <col min="9" max="9" width="24.140625" style="9" customWidth="1"/>
    <col min="10" max="10" width="19.140625" style="9" hidden="1" customWidth="1"/>
    <col min="11" max="16384" width="19.140625" style="9" customWidth="1"/>
  </cols>
  <sheetData>
    <row r="1" spans="1:5" s="2" customFormat="1" ht="17.25" customHeight="1">
      <c r="A1" s="122" t="e">
        <f>Parâmetros</f>
        <v>#NAME?</v>
      </c>
      <c r="B1" s="361"/>
      <c r="C1" s="3"/>
      <c r="D1" s="3"/>
      <c r="E1" s="3"/>
    </row>
    <row r="2" spans="1:10" s="2" customFormat="1" ht="30" customHeight="1">
      <c r="A2" s="63" t="s">
        <v>381</v>
      </c>
      <c r="B2" s="63"/>
      <c r="C2" s="64"/>
      <c r="D2" s="64"/>
      <c r="E2" s="64"/>
      <c r="F2" s="65"/>
      <c r="G2" s="65"/>
      <c r="H2" s="65"/>
      <c r="I2" s="65"/>
      <c r="J2" s="4"/>
    </row>
    <row r="3" spans="1:10" s="2" customFormat="1" ht="19.5" customHeight="1">
      <c r="A3" s="66"/>
      <c r="B3" s="67"/>
      <c r="C3" s="67"/>
      <c r="D3" s="67"/>
      <c r="E3" s="67"/>
      <c r="F3" s="67"/>
      <c r="G3" s="67"/>
      <c r="H3" s="67"/>
      <c r="I3" s="67"/>
      <c r="J3" s="6"/>
    </row>
    <row r="4" spans="1:10" s="2" customFormat="1" ht="15.75" hidden="1">
      <c r="A4" s="68"/>
      <c r="B4" s="69"/>
      <c r="C4" s="69"/>
      <c r="D4" s="69"/>
      <c r="E4" s="69"/>
      <c r="F4" s="69"/>
      <c r="G4" s="69"/>
      <c r="H4" s="69"/>
      <c r="I4" s="69"/>
      <c r="J4" s="5"/>
    </row>
    <row r="5" spans="1:10" s="2" customFormat="1" ht="16.5" thickBot="1">
      <c r="A5" s="70"/>
      <c r="B5" s="71"/>
      <c r="C5" s="71"/>
      <c r="D5" s="71"/>
      <c r="E5" s="71"/>
      <c r="F5" s="71"/>
      <c r="G5" s="71"/>
      <c r="H5" s="71"/>
      <c r="I5" s="72" t="s">
        <v>96</v>
      </c>
      <c r="J5" s="17"/>
    </row>
    <row r="6" spans="1:10" s="1" customFormat="1" ht="16.5" thickTop="1">
      <c r="A6" s="185" t="s">
        <v>0</v>
      </c>
      <c r="B6" s="186" t="s">
        <v>1</v>
      </c>
      <c r="C6" s="187" t="s">
        <v>418</v>
      </c>
      <c r="D6" s="187" t="s">
        <v>418</v>
      </c>
      <c r="E6" s="187" t="s">
        <v>418</v>
      </c>
      <c r="F6" s="188" t="s">
        <v>197</v>
      </c>
      <c r="G6" s="188" t="s">
        <v>18</v>
      </c>
      <c r="H6" s="189" t="s">
        <v>18</v>
      </c>
      <c r="I6" s="190" t="s">
        <v>18</v>
      </c>
      <c r="J6" s="20" t="s">
        <v>18</v>
      </c>
    </row>
    <row r="7" spans="1:10" s="1" customFormat="1" ht="27.75" customHeight="1">
      <c r="A7" s="191"/>
      <c r="B7" s="192" t="s">
        <v>14</v>
      </c>
      <c r="C7" s="193">
        <v>2013</v>
      </c>
      <c r="D7" s="194">
        <f aca="true" t="shared" si="0" ref="D7:I7">C7+1</f>
        <v>2014</v>
      </c>
      <c r="E7" s="194">
        <f t="shared" si="0"/>
        <v>2015</v>
      </c>
      <c r="F7" s="194">
        <f t="shared" si="0"/>
        <v>2016</v>
      </c>
      <c r="G7" s="194">
        <f t="shared" si="0"/>
        <v>2017</v>
      </c>
      <c r="H7" s="194">
        <f t="shared" si="0"/>
        <v>2018</v>
      </c>
      <c r="I7" s="194">
        <f t="shared" si="0"/>
        <v>2019</v>
      </c>
      <c r="J7" s="21">
        <v>2005</v>
      </c>
    </row>
    <row r="8" spans="1:10" s="7" customFormat="1" ht="17.25" customHeight="1">
      <c r="A8" s="195"/>
      <c r="B8" s="196"/>
      <c r="C8" s="197"/>
      <c r="D8" s="198"/>
      <c r="E8" s="198"/>
      <c r="F8" s="198"/>
      <c r="G8" s="198"/>
      <c r="H8" s="199"/>
      <c r="I8" s="200"/>
      <c r="J8" s="22"/>
    </row>
    <row r="9" spans="1:9" s="25" customFormat="1" ht="12.75">
      <c r="A9" s="116" t="s">
        <v>50</v>
      </c>
      <c r="B9" s="110" t="s">
        <v>2</v>
      </c>
      <c r="C9" s="111">
        <f>Plano!C3</f>
        <v>15969473.490000002</v>
      </c>
      <c r="D9" s="111">
        <f>Plano!D3</f>
        <v>17854017.8</v>
      </c>
      <c r="E9" s="111">
        <f>Plano!E3</f>
        <v>22791278.64</v>
      </c>
      <c r="F9" s="111">
        <f>Plano!F3</f>
        <v>22720943.472499996</v>
      </c>
      <c r="G9" s="111">
        <f>IF(G23=0,"-",(G10+G11+G14+G19+G20+G21+G22+G23))</f>
        <v>30748715.352094173</v>
      </c>
      <c r="H9" s="111">
        <f>IF(H23=0,"-",(H10+H11+H14+H19+H20+H21+H22+H23))</f>
        <v>37147740.9933599</v>
      </c>
      <c r="I9" s="111">
        <f>IF(I23=0,"-",(I10+I11+I14+I19+I20+I21+I22+I23))</f>
        <v>44149038.71204092</v>
      </c>
    </row>
    <row r="10" spans="1:9" s="25" customFormat="1" ht="12.75">
      <c r="A10" s="116" t="s">
        <v>51</v>
      </c>
      <c r="B10" s="110" t="s">
        <v>52</v>
      </c>
      <c r="C10" s="111">
        <f>Plano!C4</f>
        <v>403947.42</v>
      </c>
      <c r="D10" s="111">
        <f>Plano!D4</f>
        <v>460670.36</v>
      </c>
      <c r="E10" s="111">
        <f>Plano!E4</f>
        <v>582056.21</v>
      </c>
      <c r="F10" s="111">
        <f>Plano!F4</f>
        <v>669364.6414999999</v>
      </c>
      <c r="G10" s="112">
        <f>IF(F10=0,"-",(F10*(1+Parâmetros!E11)*(1+Parâmetros!E12)*(1+Parâmetros!E15)))</f>
        <v>802707.704025554</v>
      </c>
      <c r="H10" s="112">
        <f>IF(G10=0,"-",(G10*(1+Parâmetros!F11)*(1+Parâmetros!F12)*(1+Parâmetros!F15)))</f>
        <v>981851.355760166</v>
      </c>
      <c r="I10" s="112">
        <f>IF(H10=0,"-",(H10*(1+Parâmetros!G11)*(1+Parâmetros!G12)*(1+Parâmetros!G15)))</f>
        <v>1183946.5581645998</v>
      </c>
    </row>
    <row r="11" spans="1:9" s="25" customFormat="1" ht="12" customHeight="1">
      <c r="A11" s="116" t="s">
        <v>53</v>
      </c>
      <c r="B11" s="110" t="s">
        <v>54</v>
      </c>
      <c r="C11" s="111">
        <f>Plano!C5</f>
        <v>700476.9199999999</v>
      </c>
      <c r="D11" s="111">
        <f>Plano!D5</f>
        <v>866149.01</v>
      </c>
      <c r="E11" s="111">
        <f>Plano!E5</f>
        <v>795700.1</v>
      </c>
      <c r="F11" s="111">
        <f>Plano!F5</f>
        <v>0</v>
      </c>
      <c r="G11" s="112">
        <f>G12+G13</f>
        <v>966280.4392727673</v>
      </c>
      <c r="H11" s="112">
        <f>H12+H13</f>
        <v>1018648.7544509335</v>
      </c>
      <c r="I11" s="112">
        <f>I12+I13</f>
        <v>1073054.547489034</v>
      </c>
    </row>
    <row r="12" spans="1:9" s="25" customFormat="1" ht="12" customHeight="1">
      <c r="A12" s="117" t="s">
        <v>53</v>
      </c>
      <c r="B12" s="113" t="s">
        <v>224</v>
      </c>
      <c r="C12" s="111">
        <f>Plano!C6</f>
        <v>167603.22</v>
      </c>
      <c r="D12" s="111">
        <f>Plano!D6</f>
        <v>240450.48</v>
      </c>
      <c r="E12" s="111">
        <f>Plano!E6</f>
        <v>246291.1</v>
      </c>
      <c r="F12" s="111">
        <f>Plano!F6</f>
        <v>283234.76499999996</v>
      </c>
      <c r="G12" s="112">
        <f>F12*(1+Parâmetros!E11)*(1+Parâmetros!E12)</f>
        <v>301415.8849677673</v>
      </c>
      <c r="H12" s="112">
        <f>G12*(1+Parâmetros!F11)*(1+Parâmetros!F12)</f>
        <v>322269.62027187645</v>
      </c>
      <c r="I12" s="112">
        <f>H12*(1+Parâmetros!G11)*(1+Parâmetros!G12)</f>
        <v>344781.248964576</v>
      </c>
    </row>
    <row r="13" spans="1:9" s="25" customFormat="1" ht="12" customHeight="1">
      <c r="A13" s="117" t="s">
        <v>53</v>
      </c>
      <c r="B13" s="362" t="s">
        <v>382</v>
      </c>
      <c r="C13" s="111">
        <f>Plano!C7</f>
        <v>532873.7</v>
      </c>
      <c r="D13" s="111">
        <f>Plano!D7</f>
        <v>625698.53</v>
      </c>
      <c r="E13" s="111">
        <f>Plano!E7</f>
        <v>549409</v>
      </c>
      <c r="F13" s="111">
        <f>Plano!F7</f>
        <v>631820.35</v>
      </c>
      <c r="G13" s="112">
        <f>F13*(1+Parâmetros!E11)*(1+Parâmetros!E17)</f>
        <v>664864.554305</v>
      </c>
      <c r="H13" s="112">
        <f>G13*(1+Parâmetros!F11)*(1+Parâmetros!F17)</f>
        <v>696379.1341790571</v>
      </c>
      <c r="I13" s="112">
        <f>H13*(1+Parâmetros!G11)*(1+Parâmetros!G17)</f>
        <v>728273.298524458</v>
      </c>
    </row>
    <row r="14" spans="1:9" s="25" customFormat="1" ht="12.75">
      <c r="A14" s="116" t="s">
        <v>55</v>
      </c>
      <c r="B14" s="110" t="s">
        <v>3</v>
      </c>
      <c r="C14" s="111">
        <f>Plano!C8</f>
        <v>1221699.24</v>
      </c>
      <c r="D14" s="111">
        <f>Plano!D8</f>
        <v>1585025.8</v>
      </c>
      <c r="E14" s="111">
        <f>Plano!E8</f>
        <v>2238236.39</v>
      </c>
      <c r="F14" s="111">
        <f>Plano!F8</f>
        <v>0</v>
      </c>
      <c r="G14" s="111">
        <f>G15+G18</f>
        <v>2708590.57617655</v>
      </c>
      <c r="H14" s="111">
        <f>H15+H18</f>
        <v>2836977.7694873186</v>
      </c>
      <c r="I14" s="111">
        <f>I15+I18</f>
        <v>2966911.351329838</v>
      </c>
    </row>
    <row r="15" spans="1:9" ht="12.75">
      <c r="A15" s="118" t="s">
        <v>56</v>
      </c>
      <c r="B15" s="114" t="s">
        <v>188</v>
      </c>
      <c r="C15" s="111">
        <f>Plano!C9</f>
        <v>1221699.24</v>
      </c>
      <c r="D15" s="111">
        <f>Plano!D9</f>
        <v>1585025.8</v>
      </c>
      <c r="E15" s="111">
        <f>Plano!E9</f>
        <v>2238236.39</v>
      </c>
      <c r="F15" s="111">
        <f>Plano!F9</f>
        <v>0</v>
      </c>
      <c r="G15" s="112">
        <f>G16+G17</f>
        <v>2708590.57617655</v>
      </c>
      <c r="H15" s="112">
        <f>H16+H17</f>
        <v>2836977.7694873186</v>
      </c>
      <c r="I15" s="112">
        <f>I16+I17</f>
        <v>2966911.351329838</v>
      </c>
    </row>
    <row r="16" spans="1:9" ht="12.75">
      <c r="A16" s="117" t="s">
        <v>56</v>
      </c>
      <c r="B16" s="113" t="s">
        <v>226</v>
      </c>
      <c r="C16" s="111">
        <f>Plano!C10</f>
        <v>208150.84</v>
      </c>
      <c r="D16" s="111">
        <f>Plano!D10</f>
        <v>196713.81</v>
      </c>
      <c r="E16" s="111">
        <f>Plano!E10</f>
        <v>258732.66</v>
      </c>
      <c r="F16" s="111">
        <f>Plano!F10</f>
        <v>297542.559</v>
      </c>
      <c r="G16" s="112">
        <f>F16*(1+Parâmetros!E11)</f>
        <v>313104.0348357</v>
      </c>
      <c r="H16" s="112">
        <f>G16*(1+Parâmetros!F11)</f>
        <v>327945.1660869122</v>
      </c>
      <c r="I16" s="112">
        <f>H16*(1+Parâmetros!G11)</f>
        <v>342965.05469369283</v>
      </c>
    </row>
    <row r="17" spans="1:9" ht="12.75">
      <c r="A17" s="117" t="s">
        <v>56</v>
      </c>
      <c r="B17" s="362" t="s">
        <v>374</v>
      </c>
      <c r="C17" s="111">
        <f>Plano!C11</f>
        <v>1013548.4</v>
      </c>
      <c r="D17" s="111">
        <f>Plano!D11</f>
        <v>1388311.99</v>
      </c>
      <c r="E17" s="111">
        <f>Plano!E11</f>
        <v>1979503.73</v>
      </c>
      <c r="F17" s="111">
        <f>Plano!F11</f>
        <v>2276429.2895</v>
      </c>
      <c r="G17" s="112">
        <f>F17*(1+Parâmetros!E11)</f>
        <v>2395486.54134085</v>
      </c>
      <c r="H17" s="112">
        <f>G17*(1+Parâmetros!F11)</f>
        <v>2509032.6034004064</v>
      </c>
      <c r="I17" s="112">
        <f>H17*(1+Parâmetros!G11)</f>
        <v>2623946.296636145</v>
      </c>
    </row>
    <row r="18" spans="1:9" ht="12.75">
      <c r="A18" s="118" t="s">
        <v>57</v>
      </c>
      <c r="B18" s="114" t="s">
        <v>58</v>
      </c>
      <c r="C18" s="111">
        <f>Plano!C12</f>
        <v>0</v>
      </c>
      <c r="D18" s="111">
        <f>Plano!D12</f>
        <v>0</v>
      </c>
      <c r="E18" s="111">
        <f>Plano!E12</f>
        <v>0</v>
      </c>
      <c r="F18" s="111">
        <f>Plano!F12</f>
        <v>0</v>
      </c>
      <c r="G18" s="112">
        <f>F18*(1+Parâmetros!E11)*(1+Parâmetros!E12)</f>
        <v>0</v>
      </c>
      <c r="H18" s="112">
        <f>G18*(1+Parâmetros!F11)*(1+Parâmetros!F12)</f>
        <v>0</v>
      </c>
      <c r="I18" s="112">
        <f>H18*(1+Parâmetros!G11)*(1+Parâmetros!G12)</f>
        <v>0</v>
      </c>
    </row>
    <row r="19" spans="1:9" ht="12.75">
      <c r="A19" s="116" t="s">
        <v>59</v>
      </c>
      <c r="B19" s="110" t="s">
        <v>60</v>
      </c>
      <c r="C19" s="363">
        <f>Plano!C13</f>
        <v>0</v>
      </c>
      <c r="D19" s="111">
        <f>Plano!D13</f>
        <v>0</v>
      </c>
      <c r="E19" s="111">
        <f>Plano!E13</f>
        <v>0</v>
      </c>
      <c r="F19" s="111">
        <f>Plano!F13</f>
        <v>0</v>
      </c>
      <c r="G19" s="112">
        <f>F19*(1+Parâmetros!E11)*(1+Parâmetros!E12)</f>
        <v>0</v>
      </c>
      <c r="H19" s="112">
        <f>G19*(1+Parâmetros!F11)*(1+Parâmetros!F12)</f>
        <v>0</v>
      </c>
      <c r="I19" s="112">
        <f>H19*(1+Parâmetros!G11)*(1+Parâmetros!G12)</f>
        <v>0</v>
      </c>
    </row>
    <row r="20" spans="1:9" ht="12.75">
      <c r="A20" s="116" t="s">
        <v>61</v>
      </c>
      <c r="B20" s="110" t="s">
        <v>4</v>
      </c>
      <c r="C20" s="111">
        <f>Plano!C14</f>
        <v>0</v>
      </c>
      <c r="D20" s="111">
        <f>Plano!D14</f>
        <v>0</v>
      </c>
      <c r="E20" s="111">
        <f>Plano!E14</f>
        <v>0</v>
      </c>
      <c r="F20" s="111">
        <f>Plano!F14</f>
        <v>0</v>
      </c>
      <c r="G20" s="112">
        <f>F20*(1+Parâmetros!E11)*(1+Parâmetros!E12)</f>
        <v>0</v>
      </c>
      <c r="H20" s="112">
        <f>G20*(1+Parâmetros!F11)*(1+Parâmetros!F12)</f>
        <v>0</v>
      </c>
      <c r="I20" s="112">
        <f>H20*(1+Parâmetros!G11)*(1+Parâmetros!G12)</f>
        <v>0</v>
      </c>
    </row>
    <row r="21" spans="1:9" ht="12.75">
      <c r="A21" s="116" t="s">
        <v>62</v>
      </c>
      <c r="B21" s="110" t="s">
        <v>63</v>
      </c>
      <c r="C21" s="111">
        <f>Plano!C15</f>
        <v>781324.71</v>
      </c>
      <c r="D21" s="111">
        <f>Plano!D15</f>
        <v>829962.91</v>
      </c>
      <c r="E21" s="111">
        <f>Plano!E15</f>
        <v>832893.04</v>
      </c>
      <c r="F21" s="111">
        <f>Plano!F15</f>
        <v>957826.9959999999</v>
      </c>
      <c r="G21" s="112">
        <f>F21*(1+Parâmetros!E11)*(1+Parâmetros!E12)</f>
        <v>1019310.8591219661</v>
      </c>
      <c r="H21" s="112">
        <f>G21*(1+Parâmetros!F11)*(1+Parâmetros!F12)</f>
        <v>1089832.8186763097</v>
      </c>
      <c r="I21" s="112">
        <f>H21*(1+Parâmetros!G11)*(1+Parâmetros!G12)</f>
        <v>1165961.3464924332</v>
      </c>
    </row>
    <row r="22" spans="1:9" s="25" customFormat="1" ht="12.75">
      <c r="A22" s="116" t="s">
        <v>64</v>
      </c>
      <c r="B22" s="110" t="s">
        <v>65</v>
      </c>
      <c r="C22" s="111">
        <f>Plano!C16</f>
        <v>12735467.65</v>
      </c>
      <c r="D22" s="111">
        <f>Plano!D16</f>
        <v>13960271.03</v>
      </c>
      <c r="E22" s="111">
        <f>Plano!E16</f>
        <v>18211931.07</v>
      </c>
      <c r="F22" s="111">
        <f>Plano!F16</f>
        <v>20943720.730499998</v>
      </c>
      <c r="G22" s="112">
        <f>IF(F22=0,"-",(F22*(1+Parâmetros!E11)*(1+Parâmetros!E12)*(1+Parâmetros!E16)))</f>
        <v>25092164.023868687</v>
      </c>
      <c r="H22" s="112">
        <f>IF(G22=0,"-",(G22*(1+Parâmetros!F11)*(1+Parâmetros!F12)*(1+Parâmetros!F16)))</f>
        <v>31049722.200319663</v>
      </c>
      <c r="I22" s="112">
        <f>IF(H22=0,"-",(H22*(1+Parâmetros!G11)*(1+Parâmetros!G12)*(1+Parâmetros!G16)))</f>
        <v>37576532.2730796</v>
      </c>
    </row>
    <row r="23" spans="1:9" s="25" customFormat="1" ht="12.75">
      <c r="A23" s="116" t="s">
        <v>66</v>
      </c>
      <c r="B23" s="110" t="s">
        <v>5</v>
      </c>
      <c r="C23" s="111">
        <f>Plano!C17</f>
        <v>126557.55</v>
      </c>
      <c r="D23" s="111">
        <f>Plano!D17</f>
        <v>151938.69</v>
      </c>
      <c r="E23" s="111">
        <f>Plano!E17</f>
        <v>130461.83</v>
      </c>
      <c r="F23" s="111">
        <f>Plano!F17</f>
        <v>150031.1045</v>
      </c>
      <c r="G23" s="112">
        <f>G24+G25</f>
        <v>159661.74962864845</v>
      </c>
      <c r="H23" s="112">
        <f>H24+H25</f>
        <v>170708.09466551614</v>
      </c>
      <c r="I23" s="112">
        <f>I24+I25</f>
        <v>182632.6354854243</v>
      </c>
    </row>
    <row r="24" spans="1:9" s="25" customFormat="1" ht="12.75">
      <c r="A24" s="117" t="s">
        <v>66</v>
      </c>
      <c r="B24" s="113" t="s">
        <v>227</v>
      </c>
      <c r="C24" s="111">
        <f>Plano!C18</f>
        <v>126557.55</v>
      </c>
      <c r="D24" s="111">
        <f>Plano!D18</f>
        <v>151938.69</v>
      </c>
      <c r="E24" s="111">
        <f>Plano!E18</f>
        <v>130461.83</v>
      </c>
      <c r="F24" s="111">
        <f>Plano!F18</f>
        <v>150031.1045</v>
      </c>
      <c r="G24" s="112">
        <f>F24*(1+Parâmetros!E11)*(1+Parâmetros!E12)</f>
        <v>159661.74962864845</v>
      </c>
      <c r="H24" s="112">
        <f>G24*(1+Parâmetros!F11)*(1+Parâmetros!F12)</f>
        <v>170708.09466551614</v>
      </c>
      <c r="I24" s="112">
        <f>H24*(1+Parâmetros!G11)*(1+Parâmetros!G12)</f>
        <v>182632.6354854243</v>
      </c>
    </row>
    <row r="25" spans="1:9" s="25" customFormat="1" ht="12.75">
      <c r="A25" s="117" t="s">
        <v>66</v>
      </c>
      <c r="B25" s="362" t="s">
        <v>375</v>
      </c>
      <c r="C25" s="111">
        <f>Plano!C19</f>
        <v>0</v>
      </c>
      <c r="D25" s="111">
        <f>Plano!D19</f>
        <v>0</v>
      </c>
      <c r="E25" s="111">
        <f>Plano!E19</f>
        <v>0</v>
      </c>
      <c r="F25" s="111">
        <f>Plano!F19</f>
        <v>0</v>
      </c>
      <c r="G25" s="112">
        <f>F25*(1+Parâmetros!E11)*(1+Parâmetros!E12)</f>
        <v>0</v>
      </c>
      <c r="H25" s="112">
        <f>G25*(1+Parâmetros!F11)*(1+Parâmetros!F12)</f>
        <v>0</v>
      </c>
      <c r="I25" s="112">
        <f>H25*(1+Parâmetros!G11)*(1+Parâmetros!G12)</f>
        <v>0</v>
      </c>
    </row>
    <row r="26" spans="1:9" s="25" customFormat="1" ht="12.75">
      <c r="A26" s="116" t="s">
        <v>67</v>
      </c>
      <c r="B26" s="110" t="s">
        <v>68</v>
      </c>
      <c r="C26" s="111">
        <f>Plano!C20</f>
        <v>1164834.6099999999</v>
      </c>
      <c r="D26" s="111">
        <f>Plano!D20</f>
        <v>236897.22</v>
      </c>
      <c r="E26" s="111">
        <f>Plano!E20</f>
        <v>373813.67</v>
      </c>
      <c r="F26" s="111">
        <f>Plano!F20</f>
        <v>429885.72049999994</v>
      </c>
      <c r="G26" s="111">
        <f>G27+G28+G29+G30+G31</f>
        <v>457480.51048575825</v>
      </c>
      <c r="H26" s="111">
        <f>H27+H28+H29+H30+H31</f>
        <v>489131.7204857851</v>
      </c>
      <c r="I26" s="111">
        <f>I27+I28+I29+I30+I31</f>
        <v>523299.23420956684</v>
      </c>
    </row>
    <row r="27" spans="1:9" s="25" customFormat="1" ht="12.75">
      <c r="A27" s="116" t="s">
        <v>69</v>
      </c>
      <c r="B27" s="110" t="s">
        <v>70</v>
      </c>
      <c r="C27" s="111">
        <f>Plano!C21</f>
        <v>0</v>
      </c>
      <c r="D27" s="111">
        <f>Plano!D21</f>
        <v>0</v>
      </c>
      <c r="E27" s="111">
        <f>Plano!E21</f>
        <v>0</v>
      </c>
      <c r="F27" s="111">
        <f>Plano!F21</f>
        <v>0</v>
      </c>
      <c r="G27" s="112">
        <f>Dívida!E17</f>
        <v>0</v>
      </c>
      <c r="H27" s="112">
        <f>Dívida!F17</f>
        <v>0</v>
      </c>
      <c r="I27" s="112">
        <f>Dívida!G17</f>
        <v>0</v>
      </c>
    </row>
    <row r="28" spans="1:9" s="25" customFormat="1" ht="12.75">
      <c r="A28" s="116" t="s">
        <v>71</v>
      </c>
      <c r="B28" s="110" t="s">
        <v>72</v>
      </c>
      <c r="C28" s="111">
        <f>Plano!C22</f>
        <v>120900</v>
      </c>
      <c r="D28" s="111">
        <f>Plano!D22</f>
        <v>59300</v>
      </c>
      <c r="E28" s="111">
        <f>Plano!E22</f>
        <v>0</v>
      </c>
      <c r="F28" s="111">
        <f>Plano!F22</f>
        <v>0</v>
      </c>
      <c r="G28" s="112">
        <f>F28*(1+Parâmetros!E11)*(1+Parâmetros!E12)</f>
        <v>0</v>
      </c>
      <c r="H28" s="112">
        <f>G28*(1+Parâmetros!F11)*(1+Parâmetros!F12)</f>
        <v>0</v>
      </c>
      <c r="I28" s="112">
        <f>H28*(1+Parâmetros!G11)*(1+Parâmetros!G12)</f>
        <v>0</v>
      </c>
    </row>
    <row r="29" spans="1:9" ht="12.75">
      <c r="A29" s="116" t="s">
        <v>73</v>
      </c>
      <c r="B29" s="110" t="s">
        <v>74</v>
      </c>
      <c r="C29" s="111">
        <f>Plano!C23</f>
        <v>0</v>
      </c>
      <c r="D29" s="111">
        <f>Plano!D23</f>
        <v>0</v>
      </c>
      <c r="E29" s="111">
        <f>Plano!E23</f>
        <v>0</v>
      </c>
      <c r="F29" s="111">
        <f>Plano!F23</f>
        <v>0</v>
      </c>
      <c r="G29" s="112">
        <f>F29*(1+Parâmetros!E11)*(1+Parâmetros!E12)</f>
        <v>0</v>
      </c>
      <c r="H29" s="112">
        <f>G29*(1+Parâmetros!F11)*(1+Parâmetros!F12)</f>
        <v>0</v>
      </c>
      <c r="I29" s="112">
        <f>H29*(1+Parâmetros!G11)*(1+Parâmetros!G12)</f>
        <v>0</v>
      </c>
    </row>
    <row r="30" spans="1:9" s="25" customFormat="1" ht="12.75">
      <c r="A30" s="116" t="s">
        <v>75</v>
      </c>
      <c r="B30" s="110" t="s">
        <v>76</v>
      </c>
      <c r="C30" s="111">
        <f>Plano!C24</f>
        <v>553550</v>
      </c>
      <c r="D30" s="111">
        <f>Plano!D24</f>
        <v>16000</v>
      </c>
      <c r="E30" s="111">
        <f>Plano!E24</f>
        <v>373813.67</v>
      </c>
      <c r="F30" s="111">
        <f>Plano!F24</f>
        <v>429885.72049999994</v>
      </c>
      <c r="G30" s="112">
        <f>F30*(1+Parâmetros!E11)*(1+Parâmetros!E12)</f>
        <v>457480.51048575825</v>
      </c>
      <c r="H30" s="112">
        <f>G30*(1+Parâmetros!F11)*(1+Parâmetros!F12)</f>
        <v>489131.7204857851</v>
      </c>
      <c r="I30" s="112">
        <f>H30*(1+Parâmetros!G11)*(1+Parâmetros!G12)</f>
        <v>523299.23420956684</v>
      </c>
    </row>
    <row r="31" spans="1:9" ht="12.75">
      <c r="A31" s="116" t="s">
        <v>77</v>
      </c>
      <c r="B31" s="110" t="s">
        <v>6</v>
      </c>
      <c r="C31" s="111">
        <f>Plano!C25</f>
        <v>490384.61</v>
      </c>
      <c r="D31" s="111">
        <f>Plano!D25</f>
        <v>161597.22</v>
      </c>
      <c r="E31" s="111">
        <f>Plano!E25</f>
        <v>0</v>
      </c>
      <c r="F31" s="111">
        <f>Plano!F25</f>
        <v>0</v>
      </c>
      <c r="G31" s="112">
        <f>F31*(1+Parâmetros!E11)*(1+Parâmetros!E12)</f>
        <v>0</v>
      </c>
      <c r="H31" s="112">
        <f>G31*(1+Parâmetros!F11)*(1+Parâmetros!F12)</f>
        <v>0</v>
      </c>
      <c r="I31" s="112">
        <f>H31*(1+Parâmetros!G11)*(1+Parâmetros!G12)</f>
        <v>0</v>
      </c>
    </row>
    <row r="32" spans="1:9" ht="12.75">
      <c r="A32" s="117" t="s">
        <v>228</v>
      </c>
      <c r="B32" s="362" t="s">
        <v>376</v>
      </c>
      <c r="C32" s="111">
        <f>Plano!C26</f>
        <v>913561.42</v>
      </c>
      <c r="D32" s="111">
        <f>Plano!D26</f>
        <v>1170479.99</v>
      </c>
      <c r="E32" s="111">
        <f>Plano!E26</f>
        <v>1337768.5</v>
      </c>
      <c r="F32" s="111">
        <f>Plano!F26</f>
        <v>1538433.775</v>
      </c>
      <c r="G32" s="112">
        <f>F32*(1+Parâmetros!E11)*(1+Parâmetros!E17)</f>
        <v>1618893.8614325</v>
      </c>
      <c r="H32" s="112">
        <f>G32*(1+Parâmetros!F11)*(1+Parâmetros!F17)</f>
        <v>1695629.4304644007</v>
      </c>
      <c r="I32" s="112">
        <f>H32*(1+Parâmetros!G11)*(1+Parâmetros!G17)</f>
        <v>1773289.2583796703</v>
      </c>
    </row>
    <row r="33" spans="1:9" ht="12.75">
      <c r="A33" s="116" t="s">
        <v>295</v>
      </c>
      <c r="B33" s="110" t="s">
        <v>189</v>
      </c>
      <c r="C33" s="111">
        <f>Plano!C27</f>
        <v>0</v>
      </c>
      <c r="D33" s="111">
        <f>Plano!D27</f>
        <v>0</v>
      </c>
      <c r="E33" s="111">
        <f>Plano!E27</f>
        <v>0</v>
      </c>
      <c r="F33" s="111">
        <f>Plano!F27</f>
        <v>0</v>
      </c>
      <c r="G33" s="112">
        <f>F33*(1+Parâmetros!E11)*(1+Parâmetros!E12)</f>
        <v>0</v>
      </c>
      <c r="H33" s="112">
        <f>G33*(1+Parâmetros!F11)*(1+Parâmetros!F12)</f>
        <v>0</v>
      </c>
      <c r="I33" s="112">
        <f>H33*(1+Parâmetros!G11)*(1+Parâmetros!G12)</f>
        <v>0</v>
      </c>
    </row>
    <row r="34" spans="1:9" ht="12.75">
      <c r="A34" s="118"/>
      <c r="B34" s="114"/>
      <c r="C34" s="111">
        <f>Plano!C28</f>
        <v>0</v>
      </c>
      <c r="D34" s="111">
        <f>Plano!D28</f>
        <v>0</v>
      </c>
      <c r="E34" s="111">
        <f>Plano!E28</f>
        <v>0</v>
      </c>
      <c r="F34" s="111">
        <f>Plano!F28</f>
        <v>0</v>
      </c>
      <c r="G34" s="112"/>
      <c r="H34" s="112"/>
      <c r="I34" s="112"/>
    </row>
    <row r="35" spans="1:9" s="26" customFormat="1" ht="25.5" customHeight="1">
      <c r="A35" s="119"/>
      <c r="B35" s="115" t="s">
        <v>78</v>
      </c>
      <c r="C35" s="111">
        <f>Plano!C29</f>
        <v>18047869.520000003</v>
      </c>
      <c r="D35" s="111">
        <f>Plano!D29</f>
        <v>19261395.009999998</v>
      </c>
      <c r="E35" s="111">
        <f>Plano!E29</f>
        <v>24502860.810000002</v>
      </c>
      <c r="F35" s="111">
        <f>Plano!F29</f>
        <v>24689262.967999995</v>
      </c>
      <c r="G35" s="111">
        <f>G9+G26+G32+G33</f>
        <v>32825089.72401243</v>
      </c>
      <c r="H35" s="111">
        <f>H9+H26+H32+H33</f>
        <v>39332502.14431009</v>
      </c>
      <c r="I35" s="111">
        <f>I9+I26+I32+I33</f>
        <v>46445627.20463016</v>
      </c>
    </row>
    <row r="36" spans="1:9" ht="12.75">
      <c r="A36" s="201"/>
      <c r="B36" s="201"/>
      <c r="C36" s="202"/>
      <c r="D36" s="202"/>
      <c r="E36" s="202"/>
      <c r="F36" s="202"/>
      <c r="G36" s="202"/>
      <c r="H36" s="202"/>
      <c r="I36" s="202"/>
    </row>
    <row r="37" spans="1:9" ht="13.5" thickBot="1">
      <c r="A37" s="201"/>
      <c r="B37" s="201"/>
      <c r="C37" s="202"/>
      <c r="D37" s="202"/>
      <c r="E37" s="202"/>
      <c r="F37" s="202"/>
      <c r="G37" s="202"/>
      <c r="H37" s="202"/>
      <c r="I37" s="202"/>
    </row>
    <row r="38" spans="1:10" s="1" customFormat="1" ht="16.5" thickTop="1">
      <c r="A38" s="185" t="s">
        <v>0</v>
      </c>
      <c r="B38" s="186" t="s">
        <v>1</v>
      </c>
      <c r="C38" s="187" t="s">
        <v>419</v>
      </c>
      <c r="D38" s="187" t="s">
        <v>419</v>
      </c>
      <c r="E38" s="187" t="s">
        <v>419</v>
      </c>
      <c r="F38" s="188" t="s">
        <v>197</v>
      </c>
      <c r="G38" s="188" t="s">
        <v>18</v>
      </c>
      <c r="H38" s="189" t="s">
        <v>18</v>
      </c>
      <c r="I38" s="190" t="s">
        <v>18</v>
      </c>
      <c r="J38" s="20" t="s">
        <v>18</v>
      </c>
    </row>
    <row r="39" spans="1:10" s="1" customFormat="1" ht="27.75" customHeight="1">
      <c r="A39" s="191"/>
      <c r="B39" s="192" t="s">
        <v>14</v>
      </c>
      <c r="C39" s="193">
        <v>2013</v>
      </c>
      <c r="D39" s="194">
        <f aca="true" t="shared" si="1" ref="D39:I39">C39+1</f>
        <v>2014</v>
      </c>
      <c r="E39" s="194">
        <f t="shared" si="1"/>
        <v>2015</v>
      </c>
      <c r="F39" s="194">
        <f t="shared" si="1"/>
        <v>2016</v>
      </c>
      <c r="G39" s="194">
        <f t="shared" si="1"/>
        <v>2017</v>
      </c>
      <c r="H39" s="194">
        <f t="shared" si="1"/>
        <v>2018</v>
      </c>
      <c r="I39" s="194">
        <f t="shared" si="1"/>
        <v>2019</v>
      </c>
      <c r="J39" s="21">
        <v>2005</v>
      </c>
    </row>
    <row r="40" spans="1:9" s="25" customFormat="1" ht="12.75">
      <c r="A40" s="116" t="s">
        <v>79</v>
      </c>
      <c r="B40" s="110" t="s">
        <v>7</v>
      </c>
      <c r="C40" s="111">
        <f>Plano!C33</f>
        <v>14854818.68</v>
      </c>
      <c r="D40" s="111">
        <f>Plano!D33</f>
        <v>15629513.98</v>
      </c>
      <c r="E40" s="111">
        <f>Plano!E33</f>
        <v>17027734.34</v>
      </c>
      <c r="F40" s="111">
        <f>Plano!F33</f>
        <v>19581894.490999997</v>
      </c>
      <c r="G40" s="111">
        <f>(G41+G44+G47)</f>
        <v>21165680.186655223</v>
      </c>
      <c r="H40" s="111">
        <f>H41+H44+H47</f>
        <v>23060819.42806381</v>
      </c>
      <c r="I40" s="111">
        <f>I41+I44+I47</f>
        <v>25416561.450147808</v>
      </c>
    </row>
    <row r="41" spans="1:9" s="25" customFormat="1" ht="12.75">
      <c r="A41" s="116" t="s">
        <v>80</v>
      </c>
      <c r="B41" s="110" t="s">
        <v>81</v>
      </c>
      <c r="C41" s="111">
        <f>Plano!C34</f>
        <v>8411304.37</v>
      </c>
      <c r="D41" s="111">
        <f>Plano!D34</f>
        <v>9004974.78</v>
      </c>
      <c r="E41" s="111">
        <f>Plano!E34</f>
        <v>9556900.69</v>
      </c>
      <c r="F41" s="111">
        <f>Plano!F34</f>
        <v>10990435.793499999</v>
      </c>
      <c r="G41" s="112">
        <f>G42+G43</f>
        <v>11716243.9740365</v>
      </c>
      <c r="H41" s="112">
        <f>H42+H43</f>
        <v>12458319.81233486</v>
      </c>
      <c r="I41" s="112">
        <f>I42+I43</f>
        <v>13490452.217166571</v>
      </c>
    </row>
    <row r="42" spans="1:9" s="25" customFormat="1" ht="12.75">
      <c r="A42" s="117" t="s">
        <v>80</v>
      </c>
      <c r="B42" s="120" t="s">
        <v>229</v>
      </c>
      <c r="C42" s="111">
        <f>Plano!C35</f>
        <v>8384499.8</v>
      </c>
      <c r="D42" s="111">
        <f>Plano!D35</f>
        <v>8914124.25</v>
      </c>
      <c r="E42" s="111">
        <f>Plano!E35</f>
        <v>9540464.07</v>
      </c>
      <c r="F42" s="111">
        <f>Plano!F35</f>
        <v>10971533.680499999</v>
      </c>
      <c r="G42" s="112">
        <f>F42*(1+Parâmetros!E11)*(1+Parâmetros!E13)*(1+Parâmetros!E17)</f>
        <v>11696093.565836692</v>
      </c>
      <c r="H42" s="112">
        <f>G42*(1+Parâmetros!F11)*(1+Parâmetros!F13)*(1+Parâmetros!F17)</f>
        <v>12436893.130690247</v>
      </c>
      <c r="I42" s="112">
        <f>H42*(1+Parâmetros!G11)*(1+Parâmetros!G13)*(1+Parâmetros!G17)</f>
        <v>13467250.402696138</v>
      </c>
    </row>
    <row r="43" spans="1:9" s="25" customFormat="1" ht="12.75">
      <c r="A43" s="117" t="s">
        <v>80</v>
      </c>
      <c r="B43" s="364" t="s">
        <v>383</v>
      </c>
      <c r="C43" s="111">
        <f>Plano!C36</f>
        <v>26804.57</v>
      </c>
      <c r="D43" s="111">
        <f>Plano!D36</f>
        <v>90850.53</v>
      </c>
      <c r="E43" s="111">
        <f>Plano!E36</f>
        <v>16436.62</v>
      </c>
      <c r="F43" s="111">
        <f>Plano!F36</f>
        <v>18902.112999999998</v>
      </c>
      <c r="G43" s="112">
        <f>F43*(1+Parâmetros!E11)*(1+Parâmetros!E13)*(1+Parâmetros!E17)</f>
        <v>20150.408199808113</v>
      </c>
      <c r="H43" s="112">
        <f>G43*(1+Parâmetros!F11)*(1+Parâmetros!F13)*(1+Parâmetros!F17)</f>
        <v>21426.68164461374</v>
      </c>
      <c r="I43" s="112">
        <f>H43*(1+Parâmetros!G11)*(1+Parâmetros!G13)*(1+Parâmetros!G17)</f>
        <v>23201.814470432084</v>
      </c>
    </row>
    <row r="44" spans="1:9" ht="12.75">
      <c r="A44" s="116" t="s">
        <v>82</v>
      </c>
      <c r="B44" s="110" t="s">
        <v>198</v>
      </c>
      <c r="C44" s="111">
        <f>Plano!C37</f>
        <v>41793.05</v>
      </c>
      <c r="D44" s="111">
        <f>Plano!D37</f>
        <v>22710.27</v>
      </c>
      <c r="E44" s="111">
        <f>Plano!E37</f>
        <v>32679.25</v>
      </c>
      <c r="F44" s="111">
        <f>Plano!F37</f>
        <v>37581.1375</v>
      </c>
      <c r="G44" s="112">
        <f>G45+G46</f>
        <v>44217.08811131663</v>
      </c>
      <c r="H44" s="112">
        <f>H45+H46</f>
        <v>51194.36597824643</v>
      </c>
      <c r="I44" s="112">
        <f>I45+I46</f>
        <v>58935.80598840717</v>
      </c>
    </row>
    <row r="45" spans="1:9" ht="12.75">
      <c r="A45" s="117" t="s">
        <v>82</v>
      </c>
      <c r="B45" s="120" t="s">
        <v>83</v>
      </c>
      <c r="C45" s="111">
        <f>Plano!C38</f>
        <v>41793.05</v>
      </c>
      <c r="D45" s="111">
        <f>Plano!D38</f>
        <v>22710.27</v>
      </c>
      <c r="E45" s="111">
        <f>Plano!E38</f>
        <v>32679.25</v>
      </c>
      <c r="F45" s="111">
        <f>Plano!F38</f>
        <v>37581.1375</v>
      </c>
      <c r="G45" s="112">
        <f>F45*(1+Parâmetros!E11)*(1+Parâmetros!E19)</f>
        <v>44217.08811131663</v>
      </c>
      <c r="H45" s="112">
        <f>G45*(1+Parâmetros!F11)*(1+Parâmetros!F19)</f>
        <v>51194.36597824643</v>
      </c>
      <c r="I45" s="112">
        <f>H45*(1+Parâmetros!G11)*(1+Parâmetros!G19)</f>
        <v>58935.80598840717</v>
      </c>
    </row>
    <row r="46" spans="1:9" ht="12.75">
      <c r="A46" s="117" t="s">
        <v>82</v>
      </c>
      <c r="B46" s="364" t="s">
        <v>384</v>
      </c>
      <c r="C46" s="111">
        <f>Plano!C39</f>
        <v>0</v>
      </c>
      <c r="D46" s="111">
        <f>Plano!D39</f>
        <v>0</v>
      </c>
      <c r="E46" s="111">
        <f>Plano!E39</f>
        <v>0</v>
      </c>
      <c r="F46" s="111">
        <f>Plano!F39</f>
        <v>0</v>
      </c>
      <c r="G46" s="112">
        <f>F46*(1+Parâmetros!E11)*(1+Parâmetros!E19)</f>
        <v>0</v>
      </c>
      <c r="H46" s="112">
        <f>G46*(1+Parâmetros!F11)*(1+Parâmetros!F19)</f>
        <v>0</v>
      </c>
      <c r="I46" s="112">
        <f>H46*(1+Parâmetros!G11)*(1+Parâmetros!G19)</f>
        <v>0</v>
      </c>
    </row>
    <row r="47" spans="1:9" s="25" customFormat="1" ht="12.75">
      <c r="A47" s="116" t="s">
        <v>84</v>
      </c>
      <c r="B47" s="110" t="s">
        <v>85</v>
      </c>
      <c r="C47" s="111">
        <f>Plano!C40</f>
        <v>6401721.26</v>
      </c>
      <c r="D47" s="111">
        <f>Plano!D40</f>
        <v>6601828.930000001</v>
      </c>
      <c r="E47" s="111">
        <f>Plano!E40</f>
        <v>7438154.4</v>
      </c>
      <c r="F47" s="111">
        <f>Plano!F40</f>
        <v>8553877.56</v>
      </c>
      <c r="G47" s="112">
        <f>G48+G49</f>
        <v>9405219.124507405</v>
      </c>
      <c r="H47" s="112">
        <f>H48+H49</f>
        <v>10551305.249750704</v>
      </c>
      <c r="I47" s="112">
        <f>I48+I49</f>
        <v>11867173.426992832</v>
      </c>
    </row>
    <row r="48" spans="1:9" s="25" customFormat="1" ht="12.75">
      <c r="A48" s="117" t="s">
        <v>84</v>
      </c>
      <c r="B48" s="120" t="s">
        <v>230</v>
      </c>
      <c r="C48" s="111">
        <f>Plano!C41</f>
        <v>5601092.51</v>
      </c>
      <c r="D48" s="111">
        <f>Plano!D41</f>
        <v>5591114.15</v>
      </c>
      <c r="E48" s="111">
        <f>Plano!E41</f>
        <v>6261107.86</v>
      </c>
      <c r="F48" s="111">
        <f>Plano!F41</f>
        <v>7200274.039</v>
      </c>
      <c r="G48" s="112">
        <f>F48*(1+Parâmetros!E11)*(1+Parâmetros!E14)</f>
        <v>7916895.538693796</v>
      </c>
      <c r="H48" s="112">
        <f>G48*(1+Parâmetros!F11)*(1+Parâmetros!F14)</f>
        <v>8881619.912659166</v>
      </c>
      <c r="I48" s="112">
        <f>H48*(1+Parâmetros!G11)*(1+Parâmetros!G14)</f>
        <v>9989259.273742417</v>
      </c>
    </row>
    <row r="49" spans="1:9" s="25" customFormat="1" ht="12.75">
      <c r="A49" s="117" t="s">
        <v>84</v>
      </c>
      <c r="B49" s="364" t="s">
        <v>385</v>
      </c>
      <c r="C49" s="111">
        <f>Plano!C42</f>
        <v>800628.75</v>
      </c>
      <c r="D49" s="111">
        <f>Plano!D42</f>
        <v>1010714.78</v>
      </c>
      <c r="E49" s="111">
        <f>Plano!E42</f>
        <v>1177046.54</v>
      </c>
      <c r="F49" s="111">
        <f>Plano!F42</f>
        <v>1353603.521</v>
      </c>
      <c r="G49" s="112">
        <f>F49*(1+Parâmetros!E11)*(1+Parâmetros!E14)</f>
        <v>1488323.5858136085</v>
      </c>
      <c r="H49" s="112">
        <f>G49*(1+Parâmetros!F11)*(1+Parâmetros!F14)</f>
        <v>1669685.3370915372</v>
      </c>
      <c r="I49" s="112">
        <f>H49*(1+Parâmetros!G11)*(1+Parâmetros!G14)</f>
        <v>1877914.1532504156</v>
      </c>
    </row>
    <row r="50" spans="1:9" s="25" customFormat="1" ht="12.75">
      <c r="A50" s="116" t="s">
        <v>86</v>
      </c>
      <c r="B50" s="110" t="s">
        <v>8</v>
      </c>
      <c r="C50" s="111">
        <f>Plano!C43</f>
        <v>1107747.04</v>
      </c>
      <c r="D50" s="111">
        <f>Plano!D43</f>
        <v>1696262.86</v>
      </c>
      <c r="E50" s="111">
        <f>Plano!E43</f>
        <v>1477173.57</v>
      </c>
      <c r="F50" s="111">
        <f>Plano!F43</f>
        <v>1698749.6054999998</v>
      </c>
      <c r="G50" s="111">
        <f>G51+G54+G57</f>
        <v>1810246.153201626</v>
      </c>
      <c r="H50" s="111">
        <f>H51+H54+H57</f>
        <v>1919780.0105198445</v>
      </c>
      <c r="I50" s="111">
        <f>I51+I54+I57</f>
        <v>2033947.8080438138</v>
      </c>
    </row>
    <row r="51" spans="1:9" s="25" customFormat="1" ht="12.75">
      <c r="A51" s="116" t="s">
        <v>87</v>
      </c>
      <c r="B51" s="110" t="s">
        <v>9</v>
      </c>
      <c r="C51" s="111">
        <f>Plano!C44</f>
        <v>900814.07</v>
      </c>
      <c r="D51" s="111">
        <f>Plano!D44</f>
        <v>1469252.85</v>
      </c>
      <c r="E51" s="111">
        <f>Plano!E44</f>
        <v>1314786.74</v>
      </c>
      <c r="F51" s="111">
        <f>Plano!F44</f>
        <v>1512004.751</v>
      </c>
      <c r="G51" s="112">
        <f>G52+G53</f>
        <v>1591082.5994773</v>
      </c>
      <c r="H51" s="112">
        <f>H52+H53</f>
        <v>1666499.9146925241</v>
      </c>
      <c r="I51" s="112">
        <f>I52+I53</f>
        <v>1742825.610785442</v>
      </c>
    </row>
    <row r="52" spans="1:9" s="25" customFormat="1" ht="12.75">
      <c r="A52" s="117" t="s">
        <v>87</v>
      </c>
      <c r="B52" s="120" t="s">
        <v>231</v>
      </c>
      <c r="C52" s="111">
        <f>Plano!C45</f>
        <v>900814.07</v>
      </c>
      <c r="D52" s="111">
        <f>Plano!D45</f>
        <v>1469252.85</v>
      </c>
      <c r="E52" s="111">
        <f>Plano!E45</f>
        <v>1314786.74</v>
      </c>
      <c r="F52" s="111">
        <f>Plano!F45</f>
        <v>1512004.751</v>
      </c>
      <c r="G52" s="112">
        <f>F52*(1+Parâmetros!E11)*(1+Parâmetros!E18)</f>
        <v>1591082.5994773</v>
      </c>
      <c r="H52" s="112">
        <f>G52*(1+Parâmetros!F11)*(1+Parâmetros!F18)</f>
        <v>1666499.9146925241</v>
      </c>
      <c r="I52" s="112">
        <f>H52*(1+Parâmetros!G11)*(1+Parâmetros!G18)</f>
        <v>1742825.610785442</v>
      </c>
    </row>
    <row r="53" spans="1:9" s="25" customFormat="1" ht="12.75">
      <c r="A53" s="117" t="s">
        <v>87</v>
      </c>
      <c r="B53" s="364" t="s">
        <v>386</v>
      </c>
      <c r="C53" s="111">
        <f>Plano!C46</f>
        <v>0</v>
      </c>
      <c r="D53" s="111">
        <f>Plano!D46</f>
        <v>0</v>
      </c>
      <c r="E53" s="111">
        <f>Plano!E46</f>
        <v>0</v>
      </c>
      <c r="F53" s="111">
        <f>Plano!F46</f>
        <v>0</v>
      </c>
      <c r="G53" s="112">
        <f>F53*(1+Parâmetros!E11)*(1+Parâmetros!E18)</f>
        <v>0</v>
      </c>
      <c r="H53" s="112">
        <f>G53*(1+Parâmetros!F11)*(1+Parâmetros!F18)</f>
        <v>0</v>
      </c>
      <c r="I53" s="112">
        <f>H53*(1+Parâmetros!G11)*(1+Parâmetros!G18)</f>
        <v>0</v>
      </c>
    </row>
    <row r="54" spans="1:9" s="25" customFormat="1" ht="12.75">
      <c r="A54" s="116" t="s">
        <v>88</v>
      </c>
      <c r="B54" s="110" t="s">
        <v>10</v>
      </c>
      <c r="C54" s="111">
        <f>Plano!C47</f>
        <v>0</v>
      </c>
      <c r="D54" s="111">
        <f>Plano!D47</f>
        <v>2500</v>
      </c>
      <c r="E54" s="111">
        <f>Plano!E47</f>
        <v>4302.56</v>
      </c>
      <c r="F54" s="111">
        <f>Plano!F47</f>
        <v>4947.944</v>
      </c>
      <c r="G54" s="111">
        <f>G55+G56</f>
        <v>5265.557423824561</v>
      </c>
      <c r="H54" s="111">
        <f>H55+H56</f>
        <v>5629.859858504694</v>
      </c>
      <c r="I54" s="111">
        <f>I55+I56</f>
        <v>6023.124711144766</v>
      </c>
    </row>
    <row r="55" spans="1:9" ht="12.75">
      <c r="A55" s="116" t="s">
        <v>89</v>
      </c>
      <c r="B55" s="110" t="s">
        <v>90</v>
      </c>
      <c r="C55" s="111">
        <f>Plano!C48</f>
        <v>0</v>
      </c>
      <c r="D55" s="111">
        <f>Plano!D48</f>
        <v>0</v>
      </c>
      <c r="E55" s="111">
        <f>Plano!E48</f>
        <v>0</v>
      </c>
      <c r="F55" s="111">
        <f>Plano!F48</f>
        <v>0</v>
      </c>
      <c r="G55" s="112">
        <f>F55*(1+Parâmetros!E11)*(1+Parâmetros!E12)</f>
        <v>0</v>
      </c>
      <c r="H55" s="112">
        <f>G55*(1+Parâmetros!F11)*(1+Parâmetros!F12)</f>
        <v>0</v>
      </c>
      <c r="I55" s="112">
        <f>H55*(1+Parâmetros!G11)*(1+Parâmetros!G12)</f>
        <v>0</v>
      </c>
    </row>
    <row r="56" spans="1:9" ht="12.75">
      <c r="A56" s="116" t="s">
        <v>190</v>
      </c>
      <c r="B56" s="110" t="s">
        <v>214</v>
      </c>
      <c r="C56" s="111">
        <f>Plano!C49</f>
        <v>0</v>
      </c>
      <c r="D56" s="111">
        <f>Plano!D49</f>
        <v>2500</v>
      </c>
      <c r="E56" s="111">
        <f>Plano!E49</f>
        <v>4302.56</v>
      </c>
      <c r="F56" s="111">
        <f>Plano!F49</f>
        <v>4947.944</v>
      </c>
      <c r="G56" s="112">
        <f>F56*(1+Parâmetros!E11)*(1+Parâmetros!E12)</f>
        <v>5265.557423824561</v>
      </c>
      <c r="H56" s="112">
        <f>G56*(1+Parâmetros!F11)*(1+Parâmetros!F12)</f>
        <v>5629.859858504694</v>
      </c>
      <c r="I56" s="112">
        <f>H56*(1+Parâmetros!G11)*(1+Parâmetros!G12)</f>
        <v>6023.124711144766</v>
      </c>
    </row>
    <row r="57" spans="1:9" s="25" customFormat="1" ht="12.75">
      <c r="A57" s="116" t="s">
        <v>91</v>
      </c>
      <c r="B57" s="110" t="s">
        <v>92</v>
      </c>
      <c r="C57" s="111">
        <f>Plano!C50</f>
        <v>206932.97</v>
      </c>
      <c r="D57" s="111">
        <f>Plano!D50</f>
        <v>224510.01</v>
      </c>
      <c r="E57" s="111">
        <f>Plano!E50</f>
        <v>158084.27</v>
      </c>
      <c r="F57" s="111">
        <f>Plano!F50</f>
        <v>181796.91049999997</v>
      </c>
      <c r="G57" s="112">
        <f>F57*(1+Parâmetros!E11)*(1+Parâmetros!E19)</f>
        <v>213897.9963005016</v>
      </c>
      <c r="H57" s="112">
        <f>G57*(1+Parâmetros!F11)*(1+Parâmetros!F19)</f>
        <v>247650.23596881572</v>
      </c>
      <c r="I57" s="112">
        <f>H57*(1+Parâmetros!G11)*(1+Parâmetros!G19)</f>
        <v>285099.0725472272</v>
      </c>
    </row>
    <row r="58" spans="1:9" s="25" customFormat="1" ht="12.75">
      <c r="A58" s="116" t="s">
        <v>349</v>
      </c>
      <c r="B58" s="110" t="s">
        <v>200</v>
      </c>
      <c r="C58" s="111"/>
      <c r="D58" s="111"/>
      <c r="E58" s="111"/>
      <c r="F58" s="111">
        <f>Plano!F52</f>
        <v>334441.09099999815</v>
      </c>
      <c r="G58" s="112">
        <f>G35-G40-G50-G59</f>
        <v>6678392.421090648</v>
      </c>
      <c r="H58" s="112">
        <f>H35-H40-H50-H59</f>
        <v>11141973.55641872</v>
      </c>
      <c r="I58" s="112">
        <f>I35-I40-I50-I59</f>
        <v>15770725.06061911</v>
      </c>
    </row>
    <row r="59" spans="1:9" ht="12.75">
      <c r="A59" s="116" t="s">
        <v>350</v>
      </c>
      <c r="B59" s="364" t="s">
        <v>232</v>
      </c>
      <c r="C59" s="111"/>
      <c r="D59" s="111"/>
      <c r="E59" s="111"/>
      <c r="F59" s="111">
        <f>Plano!F53</f>
        <v>3074177.7805000003</v>
      </c>
      <c r="G59" s="112">
        <f>(G13+G17+G25+G32)-(G43+G46+G49+G53)</f>
        <v>3170770.963064933</v>
      </c>
      <c r="H59" s="112">
        <f>(H13+H17+H25+H32)-(H43+H46+H49+H53)</f>
        <v>3209929.149307713</v>
      </c>
      <c r="I59" s="112">
        <f>(I13+I17+I25+I32)-(I43+I46+I49+I53)</f>
        <v>3224392.885819426</v>
      </c>
    </row>
    <row r="60" spans="1:9" s="26" customFormat="1" ht="29.25" customHeight="1" thickBot="1">
      <c r="A60" s="119"/>
      <c r="B60" s="115" t="s">
        <v>93</v>
      </c>
      <c r="C60" s="111">
        <f>Plano!C55</f>
        <v>15962565.719999999</v>
      </c>
      <c r="D60" s="111">
        <f>Plano!D55</f>
        <v>17325776.84</v>
      </c>
      <c r="E60" s="111">
        <f>Plano!E55</f>
        <v>18504907.91</v>
      </c>
      <c r="F60" s="111">
        <f>Plano!F55</f>
        <v>24689262.967999995</v>
      </c>
      <c r="G60" s="111">
        <f>G40+G50+G58+G59</f>
        <v>32825089.724012427</v>
      </c>
      <c r="H60" s="111">
        <f>H40+H50+H58+H59</f>
        <v>39332502.14431009</v>
      </c>
      <c r="I60" s="111">
        <f>I40+I50+I58+I59</f>
        <v>46445627.20463016</v>
      </c>
    </row>
    <row r="61" spans="1:10" s="1" customFormat="1" ht="17.25" customHeight="1" hidden="1">
      <c r="A61" s="74">
        <v>50000002</v>
      </c>
      <c r="B61" s="75" t="s">
        <v>40</v>
      </c>
      <c r="C61" s="76"/>
      <c r="D61" s="77"/>
      <c r="E61" s="77"/>
      <c r="F61" s="77"/>
      <c r="G61" s="77"/>
      <c r="H61" s="77"/>
      <c r="I61" s="77"/>
      <c r="J61" s="11"/>
    </row>
    <row r="62" spans="1:10" s="1" customFormat="1" ht="17.25" customHeight="1" hidden="1">
      <c r="A62" s="78"/>
      <c r="B62" s="79" t="s">
        <v>13</v>
      </c>
      <c r="C62" s="80" t="s">
        <v>15</v>
      </c>
      <c r="D62" s="80" t="e">
        <f>IF(#REF!&gt;0,"REALIZADO","PROJETADO")</f>
        <v>#REF!</v>
      </c>
      <c r="E62" s="80" t="e">
        <f>IF(#REF!&gt;0,"REALIZADO","PROJETADO")</f>
        <v>#REF!</v>
      </c>
      <c r="F62" s="80" t="e">
        <f>IF(#REF!&gt;0,"REALIZADO","PROJETADO")</f>
        <v>#REF!</v>
      </c>
      <c r="G62" s="80" t="s">
        <v>18</v>
      </c>
      <c r="H62" s="80"/>
      <c r="I62" s="80" t="s">
        <v>18</v>
      </c>
      <c r="J62" s="12" t="s">
        <v>18</v>
      </c>
    </row>
    <row r="63" spans="1:10" s="1" customFormat="1" ht="17.25" customHeight="1" hidden="1">
      <c r="A63" s="78"/>
      <c r="B63" s="81" t="s">
        <v>12</v>
      </c>
      <c r="C63" s="73">
        <v>1999</v>
      </c>
      <c r="D63" s="73">
        <v>2000</v>
      </c>
      <c r="E63" s="73">
        <v>2001</v>
      </c>
      <c r="F63" s="73">
        <v>2002</v>
      </c>
      <c r="G63" s="73">
        <v>2003</v>
      </c>
      <c r="H63" s="73"/>
      <c r="I63" s="73">
        <v>2004</v>
      </c>
      <c r="J63" s="10">
        <v>2005</v>
      </c>
    </row>
    <row r="64" spans="1:10" s="1" customFormat="1" ht="17.25" customHeight="1" hidden="1">
      <c r="A64" s="78"/>
      <c r="B64" s="82"/>
      <c r="C64" s="83"/>
      <c r="D64" s="83"/>
      <c r="E64" s="83"/>
      <c r="F64" s="83"/>
      <c r="G64" s="83"/>
      <c r="H64" s="83"/>
      <c r="I64" s="83"/>
      <c r="J64" s="13"/>
    </row>
    <row r="65" spans="1:10" s="1" customFormat="1" ht="16.5" hidden="1" thickBot="1">
      <c r="A65" s="78"/>
      <c r="B65" s="82" t="s">
        <v>20</v>
      </c>
      <c r="C65" s="84" t="e">
        <f>C8-#REF!-C14+C69-#REF!</f>
        <v>#REF!</v>
      </c>
      <c r="D65" s="84" t="e">
        <f>D8-#REF!-D14+D69-#REF!</f>
        <v>#REF!</v>
      </c>
      <c r="E65" s="84" t="e">
        <f>E8-#REF!-E14+E69-#REF!</f>
        <v>#REF!</v>
      </c>
      <c r="F65" s="84" t="e">
        <f>F8-#REF!-F14+F69-#REF!</f>
        <v>#REF!</v>
      </c>
      <c r="G65" s="84" t="e">
        <f>G8-#REF!-G14+G69-#REF!</f>
        <v>#REF!</v>
      </c>
      <c r="H65" s="84"/>
      <c r="I65" s="84" t="e">
        <f>I8-#REF!-I14+I69-#REF!</f>
        <v>#REF!</v>
      </c>
      <c r="J65" s="18" t="e">
        <f>J8-#REF!-J14+J69</f>
        <v>#REF!</v>
      </c>
    </row>
    <row r="66" spans="1:10" s="1" customFormat="1" ht="16.5" hidden="1" thickBot="1">
      <c r="A66" s="78"/>
      <c r="B66" s="82" t="s">
        <v>21</v>
      </c>
      <c r="C66" s="84">
        <f>C9</f>
        <v>15969473.490000002</v>
      </c>
      <c r="D66" s="84">
        <f aca="true" t="shared" si="2" ref="D66:J66">D9</f>
        <v>17854017.8</v>
      </c>
      <c r="E66" s="84">
        <f t="shared" si="2"/>
        <v>22791278.64</v>
      </c>
      <c r="F66" s="84">
        <f t="shared" si="2"/>
        <v>22720943.472499996</v>
      </c>
      <c r="G66" s="84">
        <f t="shared" si="2"/>
        <v>30748715.352094173</v>
      </c>
      <c r="H66" s="84"/>
      <c r="I66" s="84">
        <f t="shared" si="2"/>
        <v>44149038.71204092</v>
      </c>
      <c r="J66" s="18">
        <f t="shared" si="2"/>
        <v>0</v>
      </c>
    </row>
    <row r="67" spans="1:10" s="1" customFormat="1" ht="16.5" hidden="1" thickBot="1">
      <c r="A67" s="78"/>
      <c r="B67" s="82" t="s">
        <v>22</v>
      </c>
      <c r="C67" s="84" t="e">
        <f>C19+C20+C22+#REF!+#REF!+#REF!+#REF!</f>
        <v>#REF!</v>
      </c>
      <c r="D67" s="84" t="e">
        <f>D19+D20+D22+#REF!+#REF!+#REF!+#REF!</f>
        <v>#REF!</v>
      </c>
      <c r="E67" s="84" t="e">
        <f>E19+E20+E22+#REF!+#REF!+#REF!+#REF!</f>
        <v>#REF!</v>
      </c>
      <c r="F67" s="84" t="e">
        <f>F19+F20+F22+#REF!+#REF!+#REF!+#REF!</f>
        <v>#REF!</v>
      </c>
      <c r="G67" s="84" t="e">
        <f>G19+G20+G22+#REF!+#REF!+#REF!+#REF!</f>
        <v>#REF!</v>
      </c>
      <c r="H67" s="84"/>
      <c r="I67" s="84" t="e">
        <f>I19+I20+I22+#REF!+#REF!+#REF!+#REF!</f>
        <v>#REF!</v>
      </c>
      <c r="J67" s="18" t="e">
        <f>J19+J20+J22+#REF!+#REF!+#REF!+#REF!</f>
        <v>#REF!</v>
      </c>
    </row>
    <row r="68" spans="1:10" s="1" customFormat="1" ht="16.5" hidden="1" thickBot="1">
      <c r="A68" s="78"/>
      <c r="B68" s="82" t="s">
        <v>23</v>
      </c>
      <c r="C68" s="84" t="e">
        <f>#REF!</f>
        <v>#REF!</v>
      </c>
      <c r="D68" s="84" t="e">
        <f>#REF!</f>
        <v>#REF!</v>
      </c>
      <c r="E68" s="84" t="e">
        <f>#REF!</f>
        <v>#REF!</v>
      </c>
      <c r="F68" s="84" t="e">
        <f>#REF!</f>
        <v>#REF!</v>
      </c>
      <c r="G68" s="84" t="e">
        <f>#REF!</f>
        <v>#REF!</v>
      </c>
      <c r="H68" s="84"/>
      <c r="I68" s="84" t="e">
        <f>#REF!</f>
        <v>#REF!</v>
      </c>
      <c r="J68" s="18" t="e">
        <f>#REF!</f>
        <v>#REF!</v>
      </c>
    </row>
    <row r="69" spans="1:10" s="1" customFormat="1" ht="16.5" hidden="1" thickBot="1">
      <c r="A69" s="78"/>
      <c r="B69" s="82" t="s">
        <v>24</v>
      </c>
      <c r="C69" s="84" t="e">
        <f>#REF!-#REF!</f>
        <v>#REF!</v>
      </c>
      <c r="D69" s="84" t="e">
        <f>#REF!-#REF!</f>
        <v>#REF!</v>
      </c>
      <c r="E69" s="84" t="e">
        <f>#REF!-#REF!</f>
        <v>#REF!</v>
      </c>
      <c r="F69" s="84" t="e">
        <f>#REF!-#REF!</f>
        <v>#REF!</v>
      </c>
      <c r="G69" s="84" t="e">
        <f>#REF!-#REF!</f>
        <v>#REF!</v>
      </c>
      <c r="H69" s="84"/>
      <c r="I69" s="84" t="e">
        <f>#REF!-#REF!</f>
        <v>#REF!</v>
      </c>
      <c r="J69" s="18" t="e">
        <f>#REF!-#REF!</f>
        <v>#REF!</v>
      </c>
    </row>
    <row r="70" spans="1:10" s="1" customFormat="1" ht="16.5" hidden="1" thickBot="1">
      <c r="A70" s="78"/>
      <c r="B70" s="82" t="s">
        <v>25</v>
      </c>
      <c r="C70" s="84" t="e">
        <f>#REF!</f>
        <v>#REF!</v>
      </c>
      <c r="D70" s="84" t="e">
        <f>#REF!</f>
        <v>#REF!</v>
      </c>
      <c r="E70" s="84" t="e">
        <f>#REF!</f>
        <v>#REF!</v>
      </c>
      <c r="F70" s="84" t="e">
        <f>#REF!</f>
        <v>#REF!</v>
      </c>
      <c r="G70" s="84" t="e">
        <f>#REF!</f>
        <v>#REF!</v>
      </c>
      <c r="H70" s="84"/>
      <c r="I70" s="84" t="e">
        <f>#REF!</f>
        <v>#REF!</v>
      </c>
      <c r="J70" s="18" t="e">
        <f>#REF!</f>
        <v>#REF!</v>
      </c>
    </row>
    <row r="71" spans="1:10" s="1" customFormat="1" ht="16.5" hidden="1" thickBot="1">
      <c r="A71" s="78"/>
      <c r="B71" s="82" t="s">
        <v>26</v>
      </c>
      <c r="C71" s="84" t="e">
        <f>#REF!</f>
        <v>#REF!</v>
      </c>
      <c r="D71" s="84" t="e">
        <f>#REF!</f>
        <v>#REF!</v>
      </c>
      <c r="E71" s="84" t="e">
        <f>#REF!</f>
        <v>#REF!</v>
      </c>
      <c r="F71" s="84" t="e">
        <f>#REF!</f>
        <v>#REF!</v>
      </c>
      <c r="G71" s="84" t="e">
        <f>#REF!</f>
        <v>#REF!</v>
      </c>
      <c r="H71" s="84"/>
      <c r="I71" s="84" t="e">
        <f>#REF!</f>
        <v>#REF!</v>
      </c>
      <c r="J71" s="18" t="e">
        <f>#REF!</f>
        <v>#REF!</v>
      </c>
    </row>
    <row r="72" spans="1:10" s="1" customFormat="1" ht="16.5" hidden="1" thickBot="1">
      <c r="A72" s="78"/>
      <c r="B72" s="82" t="s">
        <v>27</v>
      </c>
      <c r="C72" s="84" t="e">
        <f>#REF!</f>
        <v>#REF!</v>
      </c>
      <c r="D72" s="84" t="e">
        <f>#REF!</f>
        <v>#REF!</v>
      </c>
      <c r="E72" s="84" t="e">
        <f>#REF!</f>
        <v>#REF!</v>
      </c>
      <c r="F72" s="84" t="e">
        <f>#REF!</f>
        <v>#REF!</v>
      </c>
      <c r="G72" s="84" t="e">
        <f>#REF!</f>
        <v>#REF!</v>
      </c>
      <c r="H72" s="84"/>
      <c r="I72" s="84" t="e">
        <f>#REF!</f>
        <v>#REF!</v>
      </c>
      <c r="J72" s="18" t="e">
        <f>#REF!</f>
        <v>#REF!</v>
      </c>
    </row>
    <row r="73" spans="1:10" s="1" customFormat="1" ht="16.5" hidden="1" thickBot="1">
      <c r="A73" s="78"/>
      <c r="B73" s="82" t="s">
        <v>28</v>
      </c>
      <c r="C73" s="84">
        <f>C30</f>
        <v>553550</v>
      </c>
      <c r="D73" s="84">
        <f aca="true" t="shared" si="3" ref="D73:J73">D30</f>
        <v>16000</v>
      </c>
      <c r="E73" s="84">
        <f t="shared" si="3"/>
        <v>373813.67</v>
      </c>
      <c r="F73" s="84">
        <f t="shared" si="3"/>
        <v>429885.72049999994</v>
      </c>
      <c r="G73" s="84">
        <f t="shared" si="3"/>
        <v>457480.51048575825</v>
      </c>
      <c r="H73" s="84"/>
      <c r="I73" s="84">
        <f t="shared" si="3"/>
        <v>523299.23420956684</v>
      </c>
      <c r="J73" s="18">
        <f t="shared" si="3"/>
        <v>0</v>
      </c>
    </row>
    <row r="74" spans="1:10" s="1" customFormat="1" ht="16.5" hidden="1" thickBot="1">
      <c r="A74" s="78"/>
      <c r="B74" s="82" t="s">
        <v>29</v>
      </c>
      <c r="C74" s="84" t="e">
        <f>#REF!+#REF!+C55+C56+C57+#REF!+C59+C60+C44+#REF!</f>
        <v>#REF!</v>
      </c>
      <c r="D74" s="84" t="e">
        <f>#REF!+#REF!+D55+D56+D57+#REF!+D59+D60+D44+#REF!</f>
        <v>#REF!</v>
      </c>
      <c r="E74" s="84" t="e">
        <f>#REF!+#REF!+E55+E56+E57+#REF!+E59+E60+E44+#REF!</f>
        <v>#REF!</v>
      </c>
      <c r="F74" s="84" t="e">
        <f>#REF!+#REF!+F55+F56+F57+#REF!+F59+F60+F44+#REF!</f>
        <v>#REF!</v>
      </c>
      <c r="G74" s="84" t="e">
        <f>#REF!+#REF!+G55+G56+G57+#REF!+G59+G60+G44+#REF!</f>
        <v>#REF!</v>
      </c>
      <c r="H74" s="84"/>
      <c r="I74" s="84" t="e">
        <f>#REF!+#REF!+I55+I56+I57+#REF!+I59+I60+I44+#REF!</f>
        <v>#REF!</v>
      </c>
      <c r="J74" s="18" t="e">
        <f>#REF!+#REF!+J55+J56+J57+#REF!+J59+J60</f>
        <v>#REF!</v>
      </c>
    </row>
    <row r="75" spans="1:10" s="1" customFormat="1" ht="16.5" hidden="1" thickBot="1">
      <c r="A75" s="78"/>
      <c r="B75" s="82" t="s">
        <v>30</v>
      </c>
      <c r="C75" s="84" t="e">
        <f>#REF!+#REF!</f>
        <v>#REF!</v>
      </c>
      <c r="D75" s="84" t="e">
        <f>#REF!+#REF!</f>
        <v>#REF!</v>
      </c>
      <c r="E75" s="84" t="e">
        <f>#REF!+#REF!</f>
        <v>#REF!</v>
      </c>
      <c r="F75" s="84" t="e">
        <f>#REF!+#REF!</f>
        <v>#REF!</v>
      </c>
      <c r="G75" s="84" t="e">
        <f>#REF!+#REF!</f>
        <v>#REF!</v>
      </c>
      <c r="H75" s="84"/>
      <c r="I75" s="84" t="e">
        <f>#REF!+#REF!</f>
        <v>#REF!</v>
      </c>
      <c r="J75" s="18" t="e">
        <f>#REF!+#REF!</f>
        <v>#REF!</v>
      </c>
    </row>
    <row r="76" spans="1:10" s="1" customFormat="1" ht="16.5" hidden="1" thickBot="1">
      <c r="A76" s="78"/>
      <c r="B76" s="82" t="s">
        <v>31</v>
      </c>
      <c r="C76" s="84">
        <f>C51+C54</f>
        <v>900814.07</v>
      </c>
      <c r="D76" s="84">
        <f>D51+D54</f>
        <v>1471752.85</v>
      </c>
      <c r="E76" s="84">
        <f>E51+E54</f>
        <v>1319089.3</v>
      </c>
      <c r="F76" s="84">
        <f>F51+F54</f>
        <v>1516952.6949999998</v>
      </c>
      <c r="G76" s="84">
        <f>G51+G54</f>
        <v>1596348.1569011244</v>
      </c>
      <c r="H76" s="84"/>
      <c r="I76" s="84">
        <f>I51+I54</f>
        <v>1748848.7354965867</v>
      </c>
      <c r="J76" s="18">
        <f>J51+J54</f>
        <v>0</v>
      </c>
    </row>
    <row r="77" spans="1:10" s="1" customFormat="1" ht="16.5" hidden="1" thickBot="1">
      <c r="A77" s="78"/>
      <c r="B77" s="82" t="s">
        <v>32</v>
      </c>
      <c r="C77" s="84" t="e">
        <f>#REF!</f>
        <v>#REF!</v>
      </c>
      <c r="D77" s="84" t="e">
        <f>#REF!</f>
        <v>#REF!</v>
      </c>
      <c r="E77" s="84" t="e">
        <f>#REF!</f>
        <v>#REF!</v>
      </c>
      <c r="F77" s="84" t="e">
        <f>#REF!</f>
        <v>#REF!</v>
      </c>
      <c r="G77" s="84" t="e">
        <f>#REF!</f>
        <v>#REF!</v>
      </c>
      <c r="H77" s="84"/>
      <c r="I77" s="84" t="e">
        <f>#REF!</f>
        <v>#REF!</v>
      </c>
      <c r="J77" s="18" t="e">
        <f>#REF!</f>
        <v>#REF!</v>
      </c>
    </row>
    <row r="78" spans="1:10" s="1" customFormat="1" ht="16.5" hidden="1" thickBot="1">
      <c r="A78" s="78"/>
      <c r="B78" s="82" t="s">
        <v>33</v>
      </c>
      <c r="C78" s="84" t="e">
        <f>C47+#REF!+#REF!+#REF!+#REF!+#REF!+#REF!</f>
        <v>#REF!</v>
      </c>
      <c r="D78" s="84" t="e">
        <f>D47+#REF!+#REF!+#REF!+#REF!+#REF!+#REF!</f>
        <v>#REF!</v>
      </c>
      <c r="E78" s="84" t="e">
        <f>E47+#REF!+#REF!+#REF!+#REF!+#REF!+#REF!</f>
        <v>#REF!</v>
      </c>
      <c r="F78" s="84" t="e">
        <f>F47+#REF!+#REF!+#REF!+#REF!+#REF!+#REF!</f>
        <v>#REF!</v>
      </c>
      <c r="G78" s="84" t="e">
        <f>G47+#REF!+#REF!+#REF!+#REF!+#REF!+#REF!</f>
        <v>#REF!</v>
      </c>
      <c r="H78" s="84"/>
      <c r="I78" s="84" t="e">
        <f>I47+#REF!+#REF!+#REF!+#REF!+#REF!+#REF!</f>
        <v>#REF!</v>
      </c>
      <c r="J78" s="18" t="e">
        <f>J47+#REF!+#REF!+#REF!+#REF!+#REF!+#REF!</f>
        <v>#REF!</v>
      </c>
    </row>
    <row r="79" spans="1:10" s="1" customFormat="1" ht="16.5" hidden="1" thickBot="1">
      <c r="A79" s="78"/>
      <c r="B79" s="82" t="s">
        <v>39</v>
      </c>
      <c r="C79" s="84" t="e">
        <f>#REF!</f>
        <v>#REF!</v>
      </c>
      <c r="D79" s="84" t="e">
        <f>#REF!</f>
        <v>#REF!</v>
      </c>
      <c r="E79" s="84" t="e">
        <f>#REF!</f>
        <v>#REF!</v>
      </c>
      <c r="F79" s="84" t="e">
        <f>#REF!</f>
        <v>#REF!</v>
      </c>
      <c r="G79" s="84" t="e">
        <f>#REF!</f>
        <v>#REF!</v>
      </c>
      <c r="H79" s="84"/>
      <c r="I79" s="84" t="e">
        <f>#REF!</f>
        <v>#REF!</v>
      </c>
      <c r="J79" s="18" t="e">
        <f>#REF!</f>
        <v>#REF!</v>
      </c>
    </row>
    <row r="80" spans="1:10" s="1" customFormat="1" ht="16.5" hidden="1" thickBot="1">
      <c r="A80" s="78"/>
      <c r="B80" s="82" t="s">
        <v>34</v>
      </c>
      <c r="C80" s="84" t="e">
        <f>#REF!+#REF!</f>
        <v>#REF!</v>
      </c>
      <c r="D80" s="84" t="e">
        <f>#REF!+#REF!</f>
        <v>#REF!</v>
      </c>
      <c r="E80" s="84" t="e">
        <f>#REF!+#REF!</f>
        <v>#REF!</v>
      </c>
      <c r="F80" s="84" t="e">
        <f>#REF!+#REF!</f>
        <v>#REF!</v>
      </c>
      <c r="G80" s="84" t="e">
        <f>#REF!+#REF!</f>
        <v>#REF!</v>
      </c>
      <c r="H80" s="84"/>
      <c r="I80" s="84" t="e">
        <f>#REF!+#REF!</f>
        <v>#REF!</v>
      </c>
      <c r="J80" s="18" t="e">
        <f>#REF!+#REF!</f>
        <v>#REF!</v>
      </c>
    </row>
    <row r="81" spans="1:10" s="1" customFormat="1" ht="16.5" hidden="1" thickBot="1">
      <c r="A81" s="78"/>
      <c r="B81" s="82" t="s">
        <v>35</v>
      </c>
      <c r="C81" s="84" t="e">
        <f>#REF!+#REF!</f>
        <v>#REF!</v>
      </c>
      <c r="D81" s="84" t="e">
        <f>#REF!+#REF!</f>
        <v>#REF!</v>
      </c>
      <c r="E81" s="84" t="e">
        <f>#REF!+#REF!</f>
        <v>#REF!</v>
      </c>
      <c r="F81" s="84" t="e">
        <f>#REF!+#REF!</f>
        <v>#REF!</v>
      </c>
      <c r="G81" s="84" t="e">
        <f>#REF!+#REF!</f>
        <v>#REF!</v>
      </c>
      <c r="H81" s="84"/>
      <c r="I81" s="84" t="e">
        <f>#REF!+#REF!</f>
        <v>#REF!</v>
      </c>
      <c r="J81" s="18" t="e">
        <f>#REF!+#REF!</f>
        <v>#REF!</v>
      </c>
    </row>
    <row r="82" spans="1:10" s="1" customFormat="1" ht="16.5" hidden="1" thickBot="1">
      <c r="A82" s="78"/>
      <c r="B82" s="82" t="s">
        <v>36</v>
      </c>
      <c r="C82" s="84" t="e">
        <f>C80+C81</f>
        <v>#REF!</v>
      </c>
      <c r="D82" s="84" t="e">
        <f aca="true" t="shared" si="4" ref="D82:J82">D80+D81</f>
        <v>#REF!</v>
      </c>
      <c r="E82" s="84" t="e">
        <f t="shared" si="4"/>
        <v>#REF!</v>
      </c>
      <c r="F82" s="84" t="e">
        <f t="shared" si="4"/>
        <v>#REF!</v>
      </c>
      <c r="G82" s="84" t="e">
        <f t="shared" si="4"/>
        <v>#REF!</v>
      </c>
      <c r="H82" s="84"/>
      <c r="I82" s="84" t="e">
        <f t="shared" si="4"/>
        <v>#REF!</v>
      </c>
      <c r="J82" s="18" t="e">
        <f t="shared" si="4"/>
        <v>#REF!</v>
      </c>
    </row>
    <row r="83" spans="1:10" s="1" customFormat="1" ht="16.5" hidden="1" thickBot="1">
      <c r="A83" s="78"/>
      <c r="B83" s="82" t="s">
        <v>37</v>
      </c>
      <c r="C83" s="84" t="e">
        <f>((C8+C28)-(C67)-((#REF!+#REF!)-C82))</f>
        <v>#REF!</v>
      </c>
      <c r="D83" s="84" t="e">
        <f>((D8+D28)-(D67)-((#REF!+#REF!)-D82))</f>
        <v>#REF!</v>
      </c>
      <c r="E83" s="84" t="e">
        <f>((E8+E28)-(E67)-((#REF!+#REF!)-E82))</f>
        <v>#REF!</v>
      </c>
      <c r="F83" s="84" t="e">
        <f>((F8+F28)-(F67)-((#REF!+#REF!)-F82))</f>
        <v>#REF!</v>
      </c>
      <c r="G83" s="84" t="e">
        <f>((G8+G28)-(G67)-((#REF!+#REF!)-G82))</f>
        <v>#REF!</v>
      </c>
      <c r="H83" s="84"/>
      <c r="I83" s="84" t="e">
        <f>((I8+I28)-(I67)-((#REF!+#REF!)-I82))</f>
        <v>#REF!</v>
      </c>
      <c r="J83" s="18" t="e">
        <f>((J8+J28)-(J67)-((#REF!+#REF!)-J82))</f>
        <v>#REF!</v>
      </c>
    </row>
    <row r="84" spans="1:10" s="1" customFormat="1" ht="16.5" hidden="1" thickBot="1">
      <c r="A84" s="78"/>
      <c r="B84" s="85" t="s">
        <v>38</v>
      </c>
      <c r="C84" s="86" t="e">
        <f>-(C83-(C80-C19-C20-C22-#REF!))</f>
        <v>#REF!</v>
      </c>
      <c r="D84" s="86" t="e">
        <f>-(D83-(D80-D19-D20-D22-#REF!))</f>
        <v>#REF!</v>
      </c>
      <c r="E84" s="86" t="e">
        <f>-(E83-(E80-E19-E20-E22-#REF!))</f>
        <v>#REF!</v>
      </c>
      <c r="F84" s="86" t="e">
        <f>-(F83-(F80-F19-F20-F22-#REF!))</f>
        <v>#REF!</v>
      </c>
      <c r="G84" s="86" t="e">
        <f>-(G83-(G80-G19-G20-G22-#REF!))</f>
        <v>#REF!</v>
      </c>
      <c r="H84" s="86"/>
      <c r="I84" s="86" t="e">
        <f>-(I83-(I80-I19-I20-I22-#REF!))</f>
        <v>#REF!</v>
      </c>
      <c r="J84" s="19" t="e">
        <f>J83-J80</f>
        <v>#REF!</v>
      </c>
    </row>
    <row r="85" spans="1:10" s="1" customFormat="1" ht="16.5" thickTop="1">
      <c r="A85" s="78"/>
      <c r="B85" s="87"/>
      <c r="C85" s="87"/>
      <c r="D85" s="87"/>
      <c r="E85" s="87"/>
      <c r="F85" s="87"/>
      <c r="G85" s="87"/>
      <c r="H85" s="87"/>
      <c r="I85" s="87"/>
      <c r="J85" s="14"/>
    </row>
    <row r="86" spans="2:10" s="1" customFormat="1" ht="15.75">
      <c r="B86" s="15"/>
      <c r="C86" s="15"/>
      <c r="D86" s="15"/>
      <c r="E86" s="15"/>
      <c r="F86" s="15"/>
      <c r="G86" s="15"/>
      <c r="H86" s="15"/>
      <c r="I86" s="15"/>
      <c r="J86" s="15"/>
    </row>
    <row r="87" spans="2:10" s="1" customFormat="1" ht="15.75">
      <c r="B87" s="15"/>
      <c r="C87" s="15"/>
      <c r="D87" s="15"/>
      <c r="E87" s="15"/>
      <c r="F87" s="15"/>
      <c r="G87" s="15"/>
      <c r="H87" s="15"/>
      <c r="I87" s="15"/>
      <c r="J87" s="15"/>
    </row>
    <row r="88" spans="2:10" s="1" customFormat="1" ht="15.75">
      <c r="B88" s="15"/>
      <c r="C88" s="15"/>
      <c r="D88" s="15"/>
      <c r="E88" s="15"/>
      <c r="F88" s="15"/>
      <c r="G88" s="15"/>
      <c r="H88" s="15"/>
      <c r="I88" s="15"/>
      <c r="J88" s="15"/>
    </row>
    <row r="89" spans="2:10" s="1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1" customFormat="1" ht="15.75">
      <c r="B90" s="2"/>
      <c r="C90" s="15"/>
      <c r="D90" s="15"/>
      <c r="E90" s="15"/>
      <c r="F90" s="15"/>
      <c r="G90" s="15"/>
      <c r="H90" s="15"/>
      <c r="I90" s="15"/>
      <c r="J90" s="15"/>
    </row>
    <row r="91" spans="2:10" s="1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1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1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1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1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1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pans="2:10" s="1" customFormat="1" ht="18.75" customHeight="1">
      <c r="B97" s="15"/>
      <c r="C97" s="15"/>
      <c r="D97" s="15"/>
      <c r="E97" s="15"/>
      <c r="F97" s="15"/>
      <c r="G97" s="15"/>
      <c r="H97" s="15"/>
      <c r="I97" s="15"/>
      <c r="J97" s="15"/>
    </row>
    <row r="98" spans="2:10" s="2" customFormat="1" ht="15.75">
      <c r="B98" s="15"/>
      <c r="C98" s="15"/>
      <c r="D98" s="15"/>
      <c r="E98" s="15"/>
      <c r="F98" s="15"/>
      <c r="G98" s="15"/>
      <c r="H98" s="15"/>
      <c r="I98" s="15"/>
      <c r="J98" s="15"/>
    </row>
    <row r="99" spans="2:10" s="1" customFormat="1" ht="15.75">
      <c r="B99" s="15"/>
      <c r="C99" s="15"/>
      <c r="D99" s="15"/>
      <c r="E99" s="15"/>
      <c r="F99" s="15"/>
      <c r="G99" s="15"/>
      <c r="H99" s="15"/>
      <c r="I99" s="15"/>
      <c r="J99" s="15"/>
    </row>
    <row r="100" spans="2:10" s="1" customFormat="1" ht="15.75"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2:10" s="1" customFormat="1" ht="15.75"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2:10" s="1" customFormat="1" ht="15.75"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2:10" s="1" customFormat="1" ht="15.75"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2:10" s="8" customFormat="1" ht="15.75">
      <c r="B104" s="15"/>
      <c r="C104" s="16"/>
      <c r="D104" s="16"/>
      <c r="E104" s="16"/>
      <c r="F104" s="16"/>
      <c r="G104" s="16"/>
      <c r="H104" s="16"/>
      <c r="I104" s="16"/>
      <c r="J104" s="16"/>
    </row>
    <row r="105" spans="2:10" s="1" customFormat="1" ht="15.75">
      <c r="B105" s="2"/>
      <c r="C105" s="2"/>
      <c r="D105" s="2"/>
      <c r="E105" s="2"/>
      <c r="F105" s="2"/>
      <c r="G105" s="2"/>
      <c r="H105" s="2"/>
      <c r="I105" s="2"/>
      <c r="J105" s="2"/>
    </row>
    <row r="106" spans="2:10" s="1" customFormat="1" ht="15.75">
      <c r="B106" s="2"/>
      <c r="C106" s="2"/>
      <c r="D106" s="2"/>
      <c r="E106" s="2"/>
      <c r="F106" s="2"/>
      <c r="G106" s="2"/>
      <c r="H106" s="2"/>
      <c r="I106" s="2"/>
      <c r="J106" s="2"/>
    </row>
    <row r="107" spans="2:10" s="1" customFormat="1" ht="15.75">
      <c r="B107" s="2"/>
      <c r="C107" s="2"/>
      <c r="D107" s="2"/>
      <c r="E107" s="2"/>
      <c r="F107" s="2"/>
      <c r="G107" s="2"/>
      <c r="H107" s="2"/>
      <c r="I107" s="2"/>
      <c r="J107" s="2"/>
    </row>
    <row r="108" spans="2:10" s="1" customFormat="1" ht="15.75">
      <c r="B108" s="2"/>
      <c r="C108" s="2"/>
      <c r="D108" s="2"/>
      <c r="E108" s="2"/>
      <c r="F108" s="2"/>
      <c r="G108" s="2"/>
      <c r="H108" s="2"/>
      <c r="I108" s="2"/>
      <c r="J108" s="2"/>
    </row>
    <row r="109" spans="2:10" s="1" customFormat="1" ht="15.75">
      <c r="B109" s="2"/>
      <c r="C109" s="2"/>
      <c r="D109" s="2"/>
      <c r="E109" s="2"/>
      <c r="F109" s="2"/>
      <c r="G109" s="2"/>
      <c r="H109" s="2"/>
      <c r="I109" s="2"/>
      <c r="J109" s="2"/>
    </row>
    <row r="110" spans="2:10" s="1" customFormat="1" ht="15.75">
      <c r="B110" s="2"/>
      <c r="C110" s="2"/>
      <c r="D110" s="2"/>
      <c r="E110" s="2"/>
      <c r="F110" s="2"/>
      <c r="G110" s="2"/>
      <c r="H110" s="2"/>
      <c r="I110" s="2"/>
      <c r="J110" s="2"/>
    </row>
    <row r="111" spans="2:10" s="1" customFormat="1" ht="15.75">
      <c r="B111" s="2"/>
      <c r="C111" s="2"/>
      <c r="D111" s="2"/>
      <c r="E111" s="2"/>
      <c r="F111" s="2"/>
      <c r="G111" s="2"/>
      <c r="H111" s="2"/>
      <c r="I111" s="2"/>
      <c r="J111" s="2"/>
    </row>
    <row r="112" spans="2:10" s="1" customFormat="1" ht="15.75">
      <c r="B112" s="2"/>
      <c r="C112" s="2"/>
      <c r="D112" s="2"/>
      <c r="E112" s="2"/>
      <c r="F112" s="2"/>
      <c r="G112" s="2"/>
      <c r="H112" s="2"/>
      <c r="I112" s="2"/>
      <c r="J112" s="2"/>
    </row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36" max="255" man="1"/>
  </rowBreaks>
  <colBreaks count="2" manualBreakCount="2">
    <brk id="9" max="69" man="1"/>
    <brk id="10" max="6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7"/>
  <dimension ref="A7:J66"/>
  <sheetViews>
    <sheetView showGridLines="0" zoomScale="120" zoomScaleNormal="120" zoomScaleSheetLayoutView="70" zoomScalePageLayoutView="0" workbookViewId="0" topLeftCell="A7">
      <selection activeCell="A8" sqref="A8:J8"/>
    </sheetView>
  </sheetViews>
  <sheetFormatPr defaultColWidth="8.8515625" defaultRowHeight="12.75"/>
  <cols>
    <col min="1" max="1" width="53.57421875" style="96" customWidth="1"/>
    <col min="2" max="2" width="16.8515625" style="96" customWidth="1"/>
    <col min="3" max="3" width="16.57421875" style="96" customWidth="1"/>
    <col min="4" max="4" width="13.00390625" style="96" customWidth="1"/>
    <col min="5" max="5" width="14.57421875" style="96" customWidth="1"/>
    <col min="6" max="6" width="15.8515625" style="96" customWidth="1"/>
    <col min="7" max="7" width="15.140625" style="96" customWidth="1"/>
    <col min="8" max="16384" width="8.8515625" style="96" customWidth="1"/>
  </cols>
  <sheetData>
    <row r="1" ht="12" hidden="1"/>
    <row r="2" ht="12" hidden="1"/>
    <row r="3" ht="12" hidden="1"/>
    <row r="4" ht="12" hidden="1"/>
    <row r="5" ht="12" hidden="1"/>
    <row r="6" ht="15.75" customHeight="1" hidden="1"/>
    <row r="7" spans="1:10" ht="12">
      <c r="A7" s="399" t="s">
        <v>422</v>
      </c>
      <c r="B7" s="400"/>
      <c r="C7" s="400"/>
      <c r="D7" s="400"/>
      <c r="E7" s="400"/>
      <c r="F7" s="400"/>
      <c r="G7" s="400"/>
      <c r="H7" s="400"/>
      <c r="I7" s="400"/>
      <c r="J7" s="401"/>
    </row>
    <row r="8" spans="1:10" ht="12">
      <c r="A8" s="402" t="s">
        <v>399</v>
      </c>
      <c r="B8" s="400"/>
      <c r="C8" s="400"/>
      <c r="D8" s="400"/>
      <c r="E8" s="400"/>
      <c r="F8" s="400"/>
      <c r="G8" s="400"/>
      <c r="H8" s="400"/>
      <c r="I8" s="400"/>
      <c r="J8" s="401"/>
    </row>
    <row r="9" spans="1:10" ht="21" customHeight="1">
      <c r="A9" s="403" t="s">
        <v>278</v>
      </c>
      <c r="B9" s="404"/>
      <c r="C9" s="404"/>
      <c r="D9" s="404"/>
      <c r="E9" s="404"/>
      <c r="F9" s="404"/>
      <c r="G9" s="404"/>
      <c r="H9" s="405"/>
      <c r="I9" s="405"/>
      <c r="J9" s="406"/>
    </row>
    <row r="10" spans="1:10" ht="25.5" customHeight="1">
      <c r="A10" s="316" t="s">
        <v>219</v>
      </c>
      <c r="B10" s="316">
        <v>2014</v>
      </c>
      <c r="C10" s="316">
        <v>2015</v>
      </c>
      <c r="D10" s="316">
        <v>2016</v>
      </c>
      <c r="E10" s="316">
        <v>2017</v>
      </c>
      <c r="F10" s="316">
        <v>2018</v>
      </c>
      <c r="G10" s="316">
        <v>2019</v>
      </c>
      <c r="H10" s="105"/>
      <c r="I10" s="105"/>
      <c r="J10" s="105"/>
    </row>
    <row r="11" spans="1:7" ht="12.75">
      <c r="A11" s="317" t="s">
        <v>201</v>
      </c>
      <c r="B11" s="384">
        <v>0.064</v>
      </c>
      <c r="C11" s="384">
        <v>0.1067</v>
      </c>
      <c r="D11" s="318">
        <v>0.072</v>
      </c>
      <c r="E11" s="318">
        <v>0.0523</v>
      </c>
      <c r="F11" s="318">
        <v>0.0474</v>
      </c>
      <c r="G11" s="318">
        <v>0.0458</v>
      </c>
    </row>
    <row r="12" spans="1:7" ht="12.75">
      <c r="A12" s="317" t="s">
        <v>202</v>
      </c>
      <c r="B12" s="384">
        <v>0.001</v>
      </c>
      <c r="C12" s="384">
        <v>-0.038</v>
      </c>
      <c r="D12" s="318">
        <v>-0.0324</v>
      </c>
      <c r="E12" s="318">
        <v>0.0113</v>
      </c>
      <c r="F12" s="318">
        <v>0.0208</v>
      </c>
      <c r="G12" s="318">
        <v>0.023</v>
      </c>
    </row>
    <row r="13" spans="1:7" ht="12.75">
      <c r="A13" s="319" t="s">
        <v>203</v>
      </c>
      <c r="B13" s="320">
        <f>IF(Projeções!C41=0,"-",((Projeções!D41/Projeções!C41)-1)-B11-B17)</f>
        <v>0.006580065098750032</v>
      </c>
      <c r="C13" s="320">
        <f>IF(Projeções!D41=0,"-",((Projeções!E41/Projeções!D41)-1)-C11-C17)</f>
        <v>-0.04540877781625506</v>
      </c>
      <c r="D13" s="320">
        <f>IF(Projeções!E41=0,"-",((Projeções!F41/Projeções!E41)-1)-D11-D17)</f>
        <v>0.07799999999999992</v>
      </c>
      <c r="E13" s="318">
        <f aca="true" t="shared" si="0" ref="E13:G16">(B13+C13+D13)/3</f>
        <v>0.01305709576083163</v>
      </c>
      <c r="F13" s="318">
        <f t="shared" si="0"/>
        <v>0.015216105981525495</v>
      </c>
      <c r="G13" s="318">
        <f t="shared" si="0"/>
        <v>0.03542440058078568</v>
      </c>
    </row>
    <row r="14" spans="1:7" ht="12.75">
      <c r="A14" s="321" t="s">
        <v>204</v>
      </c>
      <c r="B14" s="320">
        <f>IF(Projeções!C47=0,"-",((Projeções!D47/Projeções!C47)-1)-B11-B12)</f>
        <v>-0.03374158341595762</v>
      </c>
      <c r="C14" s="320">
        <f>IF(Projeções!D47=0,"-",((Projeções!E47/Projeções!D47)-1)-C11-C12)</f>
        <v>0.05798087568879182</v>
      </c>
      <c r="D14" s="320">
        <f>IF(Projeções!E47=0,"-",((Projeções!F47/Projeções!E47)-1)-D11-D12)</f>
        <v>0.11039999999999991</v>
      </c>
      <c r="E14" s="318">
        <f t="shared" si="0"/>
        <v>0.044879764090944706</v>
      </c>
      <c r="F14" s="318">
        <f t="shared" si="0"/>
        <v>0.07108687992657882</v>
      </c>
      <c r="G14" s="318">
        <f t="shared" si="0"/>
        <v>0.07545554800584114</v>
      </c>
    </row>
    <row r="15" spans="1:7" ht="12.75">
      <c r="A15" s="321" t="s">
        <v>205</v>
      </c>
      <c r="B15" s="320">
        <f>IF(Projeções!C10=0,"-",((Projeções!D10/Projeções!C10)-1)-B11-B12)</f>
        <v>0.07542159249339936</v>
      </c>
      <c r="C15" s="320">
        <f>IF(Projeções!D10=0,"-",((Projeções!E10/Projeções!D10)-1)-C11-C12)</f>
        <v>0.19479828541172048</v>
      </c>
      <c r="D15" s="320">
        <f>IF(Projeções!E10=0,"-",((Projeções!F10/Projeções!E10)-1)-D11-D12)</f>
        <v>0.11039999999999991</v>
      </c>
      <c r="E15" s="318">
        <f t="shared" si="0"/>
        <v>0.1268732926350399</v>
      </c>
      <c r="F15" s="318">
        <f t="shared" si="0"/>
        <v>0.14402385934892012</v>
      </c>
      <c r="G15" s="318">
        <f t="shared" si="0"/>
        <v>0.12709905066132</v>
      </c>
    </row>
    <row r="16" spans="1:7" ht="12.75">
      <c r="A16" s="321" t="s">
        <v>206</v>
      </c>
      <c r="B16" s="320">
        <f>IF(Projeções!C22=0,"-",((Projeções!D22/Projeções!C22)-1)-B11-B12)</f>
        <v>0.03117262700204021</v>
      </c>
      <c r="C16" s="320">
        <f>IF(Projeções!D22=0,"-",((Projeções!E22/Projeções!D22)-1)-C11-C12)</f>
        <v>0.23585426193827994</v>
      </c>
      <c r="D16" s="320">
        <f>IF(Projeções!E22=0,"-",((Projeções!F22/Projeções!E22)-1)-D11-D12)</f>
        <v>0.11039999999999991</v>
      </c>
      <c r="E16" s="318">
        <f t="shared" si="0"/>
        <v>0.1258089629801067</v>
      </c>
      <c r="F16" s="318">
        <f t="shared" si="0"/>
        <v>0.15735440830612885</v>
      </c>
      <c r="G16" s="318">
        <f t="shared" si="0"/>
        <v>0.13118779042874515</v>
      </c>
    </row>
    <row r="17" spans="1:7" ht="12.75">
      <c r="A17" s="317" t="s">
        <v>207</v>
      </c>
      <c r="B17" s="322">
        <v>0</v>
      </c>
      <c r="C17" s="323">
        <v>0</v>
      </c>
      <c r="D17" s="323">
        <v>0</v>
      </c>
      <c r="E17" s="318">
        <v>0</v>
      </c>
      <c r="F17" s="318">
        <v>0</v>
      </c>
      <c r="G17" s="318">
        <v>0</v>
      </c>
    </row>
    <row r="18" spans="1:7" ht="12.75">
      <c r="A18" s="324" t="s">
        <v>217</v>
      </c>
      <c r="B18" s="320">
        <f>IF(Projeções!C51=0,"-",((Projeções!D51/Projeções!C51)-1)-B11-B12)</f>
        <v>0.566027865717062</v>
      </c>
      <c r="C18" s="320">
        <f>IF(Projeções!D51=0,"-",((Projeções!E51/Projeções!D51)-1)-C11-C12)</f>
        <v>-0.173832421556984</v>
      </c>
      <c r="D18" s="320">
        <f>IF(Projeções!E51=0,"-",((Projeções!F51/Projeções!E51)-1)-D11-D12)</f>
        <v>0.11039999999999991</v>
      </c>
      <c r="E18" s="318">
        <v>0</v>
      </c>
      <c r="F18" s="318">
        <v>0</v>
      </c>
      <c r="G18" s="318">
        <v>0</v>
      </c>
    </row>
    <row r="19" spans="1:7" ht="12.75">
      <c r="A19" s="324" t="s">
        <v>398</v>
      </c>
      <c r="B19" s="320">
        <v>0.117</v>
      </c>
      <c r="C19" s="320">
        <v>0.1425</v>
      </c>
      <c r="D19" s="318">
        <v>0.1412</v>
      </c>
      <c r="E19" s="318">
        <v>0.1181</v>
      </c>
      <c r="F19" s="318">
        <v>0.1054</v>
      </c>
      <c r="G19" s="318">
        <v>0.1008</v>
      </c>
    </row>
    <row r="20" spans="1:7" ht="12.75">
      <c r="A20" s="324" t="s">
        <v>223</v>
      </c>
      <c r="B20" s="385">
        <f>38897.51/0.1079</f>
        <v>360495.92215013906</v>
      </c>
      <c r="C20" s="385">
        <f>40362.31/0.1029</f>
        <v>392247.9105928085</v>
      </c>
      <c r="D20" s="325">
        <f>50295.39/0.1322</f>
        <v>380449.2435703479</v>
      </c>
      <c r="E20" s="325">
        <f>51996.31/0.1153</f>
        <v>450965.39462272334</v>
      </c>
      <c r="F20" s="325">
        <f>56323.12/0.1142</f>
        <v>493197.1978984239</v>
      </c>
      <c r="G20" s="325" t="s">
        <v>420</v>
      </c>
    </row>
    <row r="21" spans="1:7" ht="14.25">
      <c r="A21" s="177"/>
      <c r="B21" s="177"/>
      <c r="C21" s="41"/>
      <c r="D21" s="41"/>
      <c r="E21" s="41"/>
      <c r="F21" s="41"/>
      <c r="G21" s="41" t="s">
        <v>420</v>
      </c>
    </row>
    <row r="22" spans="1:7" ht="12">
      <c r="A22" s="397" t="s">
        <v>421</v>
      </c>
      <c r="B22" s="398"/>
      <c r="C22" s="398"/>
      <c r="D22" s="398"/>
      <c r="E22" s="398"/>
      <c r="F22" s="398"/>
      <c r="G22" s="398"/>
    </row>
    <row r="23" spans="1:8" ht="12">
      <c r="A23" s="398"/>
      <c r="B23" s="398"/>
      <c r="C23" s="398"/>
      <c r="D23" s="398"/>
      <c r="E23" s="398"/>
      <c r="F23" s="398"/>
      <c r="G23" s="398"/>
      <c r="H23" s="121"/>
    </row>
    <row r="24" spans="1:8" ht="12">
      <c r="A24" s="398"/>
      <c r="B24" s="398"/>
      <c r="C24" s="398"/>
      <c r="D24" s="398"/>
      <c r="E24" s="398"/>
      <c r="F24" s="398"/>
      <c r="G24" s="398"/>
      <c r="H24" s="121"/>
    </row>
    <row r="25" spans="1:8" ht="12">
      <c r="A25" s="398"/>
      <c r="B25" s="398"/>
      <c r="C25" s="398"/>
      <c r="D25" s="398"/>
      <c r="E25" s="398"/>
      <c r="F25" s="398"/>
      <c r="G25" s="398"/>
      <c r="H25" s="121"/>
    </row>
    <row r="26" spans="1:8" ht="58.5" customHeight="1">
      <c r="A26" s="398"/>
      <c r="B26" s="398"/>
      <c r="C26" s="398"/>
      <c r="D26" s="398"/>
      <c r="E26" s="398"/>
      <c r="F26" s="398"/>
      <c r="G26" s="398"/>
      <c r="H26" s="121"/>
    </row>
    <row r="27" spans="1:8" ht="12">
      <c r="A27" s="398"/>
      <c r="B27" s="398"/>
      <c r="C27" s="398"/>
      <c r="D27" s="398"/>
      <c r="E27" s="398"/>
      <c r="F27" s="398"/>
      <c r="G27" s="398"/>
      <c r="H27" s="121"/>
    </row>
    <row r="28" spans="1:8" ht="12">
      <c r="A28" s="398"/>
      <c r="B28" s="398"/>
      <c r="C28" s="398"/>
      <c r="D28" s="398"/>
      <c r="E28" s="398"/>
      <c r="F28" s="398"/>
      <c r="G28" s="398"/>
      <c r="H28" s="121"/>
    </row>
    <row r="29" spans="1:8" ht="12">
      <c r="A29" s="398"/>
      <c r="B29" s="398"/>
      <c r="C29" s="398"/>
      <c r="D29" s="398"/>
      <c r="E29" s="398"/>
      <c r="F29" s="398"/>
      <c r="G29" s="398"/>
      <c r="H29" s="121"/>
    </row>
    <row r="30" spans="1:8" ht="12">
      <c r="A30" s="398"/>
      <c r="B30" s="398"/>
      <c r="C30" s="398"/>
      <c r="D30" s="398"/>
      <c r="E30" s="398"/>
      <c r="F30" s="398"/>
      <c r="G30" s="398"/>
      <c r="H30" s="121"/>
    </row>
    <row r="31" spans="1:8" ht="12">
      <c r="A31" s="398"/>
      <c r="B31" s="398"/>
      <c r="C31" s="398"/>
      <c r="D31" s="398"/>
      <c r="E31" s="398"/>
      <c r="F31" s="398"/>
      <c r="G31" s="398"/>
      <c r="H31" s="121"/>
    </row>
    <row r="32" spans="1:8" ht="12">
      <c r="A32" s="398"/>
      <c r="B32" s="398"/>
      <c r="C32" s="398"/>
      <c r="D32" s="398"/>
      <c r="E32" s="398"/>
      <c r="F32" s="398"/>
      <c r="G32" s="398"/>
      <c r="H32" s="121"/>
    </row>
    <row r="33" spans="1:8" ht="12">
      <c r="A33" s="398"/>
      <c r="B33" s="398"/>
      <c r="C33" s="398"/>
      <c r="D33" s="398"/>
      <c r="E33" s="398"/>
      <c r="F33" s="398"/>
      <c r="G33" s="398"/>
      <c r="H33" s="121"/>
    </row>
    <row r="34" spans="1:8" ht="12">
      <c r="A34" s="398"/>
      <c r="B34" s="398"/>
      <c r="C34" s="398"/>
      <c r="D34" s="398"/>
      <c r="E34" s="398"/>
      <c r="F34" s="398"/>
      <c r="G34" s="398"/>
      <c r="H34" s="121"/>
    </row>
    <row r="35" spans="1:8" ht="12">
      <c r="A35" s="398"/>
      <c r="B35" s="398"/>
      <c r="C35" s="398"/>
      <c r="D35" s="398"/>
      <c r="E35" s="398"/>
      <c r="F35" s="398"/>
      <c r="G35" s="398"/>
      <c r="H35" s="121"/>
    </row>
    <row r="36" spans="1:8" ht="12">
      <c r="A36" s="398"/>
      <c r="B36" s="398"/>
      <c r="C36" s="398"/>
      <c r="D36" s="398"/>
      <c r="E36" s="398"/>
      <c r="F36" s="398"/>
      <c r="G36" s="398"/>
      <c r="H36" s="121"/>
    </row>
    <row r="37" spans="1:8" ht="12">
      <c r="A37" s="398"/>
      <c r="B37" s="398"/>
      <c r="C37" s="398"/>
      <c r="D37" s="398"/>
      <c r="E37" s="398"/>
      <c r="F37" s="398"/>
      <c r="G37" s="398"/>
      <c r="H37" s="121"/>
    </row>
    <row r="38" spans="1:8" ht="12">
      <c r="A38" s="398"/>
      <c r="B38" s="398"/>
      <c r="C38" s="398"/>
      <c r="D38" s="398"/>
      <c r="E38" s="398"/>
      <c r="F38" s="398"/>
      <c r="G38" s="398"/>
      <c r="H38" s="121"/>
    </row>
    <row r="39" spans="1:8" ht="12">
      <c r="A39" s="398"/>
      <c r="B39" s="398"/>
      <c r="C39" s="398"/>
      <c r="D39" s="398"/>
      <c r="E39" s="398"/>
      <c r="F39" s="398"/>
      <c r="G39" s="398"/>
      <c r="H39" s="121"/>
    </row>
    <row r="40" spans="1:8" ht="12">
      <c r="A40" s="398"/>
      <c r="B40" s="398"/>
      <c r="C40" s="398"/>
      <c r="D40" s="398"/>
      <c r="E40" s="398"/>
      <c r="F40" s="398"/>
      <c r="G40" s="398"/>
      <c r="H40" s="121"/>
    </row>
    <row r="41" spans="1:8" ht="12">
      <c r="A41" s="398"/>
      <c r="B41" s="398"/>
      <c r="C41" s="398"/>
      <c r="D41" s="398"/>
      <c r="E41" s="398"/>
      <c r="F41" s="398"/>
      <c r="G41" s="398"/>
      <c r="H41" s="121"/>
    </row>
    <row r="42" spans="1:8" ht="12">
      <c r="A42" s="398"/>
      <c r="B42" s="398"/>
      <c r="C42" s="398"/>
      <c r="D42" s="398"/>
      <c r="E42" s="398"/>
      <c r="F42" s="398"/>
      <c r="G42" s="398"/>
      <c r="H42" s="121"/>
    </row>
    <row r="43" spans="1:8" ht="12">
      <c r="A43" s="398"/>
      <c r="B43" s="398"/>
      <c r="C43" s="398"/>
      <c r="D43" s="398"/>
      <c r="E43" s="398"/>
      <c r="F43" s="398"/>
      <c r="G43" s="398"/>
      <c r="H43" s="121"/>
    </row>
    <row r="44" spans="1:8" ht="12">
      <c r="A44" s="398"/>
      <c r="B44" s="398"/>
      <c r="C44" s="398"/>
      <c r="D44" s="398"/>
      <c r="E44" s="398"/>
      <c r="F44" s="398"/>
      <c r="G44" s="398"/>
      <c r="H44" s="121"/>
    </row>
    <row r="45" spans="1:8" ht="12">
      <c r="A45" s="398"/>
      <c r="B45" s="398"/>
      <c r="C45" s="398"/>
      <c r="D45" s="398"/>
      <c r="E45" s="398"/>
      <c r="F45" s="398"/>
      <c r="G45" s="398"/>
      <c r="H45" s="121"/>
    </row>
    <row r="46" spans="1:8" ht="12">
      <c r="A46" s="398"/>
      <c r="B46" s="398"/>
      <c r="C46" s="398"/>
      <c r="D46" s="398"/>
      <c r="E46" s="398"/>
      <c r="F46" s="398"/>
      <c r="G46" s="398"/>
      <c r="H46" s="121"/>
    </row>
    <row r="47" spans="1:8" ht="12">
      <c r="A47" s="398"/>
      <c r="B47" s="398"/>
      <c r="C47" s="398"/>
      <c r="D47" s="398"/>
      <c r="E47" s="398"/>
      <c r="F47" s="398"/>
      <c r="G47" s="398"/>
      <c r="H47" s="121"/>
    </row>
    <row r="48" spans="1:8" ht="12">
      <c r="A48" s="398"/>
      <c r="B48" s="398"/>
      <c r="C48" s="398"/>
      <c r="D48" s="398"/>
      <c r="E48" s="398"/>
      <c r="F48" s="398"/>
      <c r="G48" s="398"/>
      <c r="H48" s="121"/>
    </row>
    <row r="49" spans="1:8" ht="12">
      <c r="A49" s="398"/>
      <c r="B49" s="398"/>
      <c r="C49" s="398"/>
      <c r="D49" s="398"/>
      <c r="E49" s="398"/>
      <c r="F49" s="398"/>
      <c r="G49" s="398"/>
      <c r="H49" s="121"/>
    </row>
    <row r="50" spans="1:8" ht="12">
      <c r="A50" s="398"/>
      <c r="B50" s="398"/>
      <c r="C50" s="398"/>
      <c r="D50" s="398"/>
      <c r="E50" s="398"/>
      <c r="F50" s="398"/>
      <c r="G50" s="398"/>
      <c r="H50" s="121"/>
    </row>
    <row r="51" spans="1:8" ht="12">
      <c r="A51" s="398"/>
      <c r="B51" s="398"/>
      <c r="C51" s="398"/>
      <c r="D51" s="398"/>
      <c r="E51" s="398"/>
      <c r="F51" s="398"/>
      <c r="G51" s="398"/>
      <c r="H51" s="121"/>
    </row>
    <row r="52" spans="1:8" ht="12">
      <c r="A52" s="398"/>
      <c r="B52" s="398"/>
      <c r="C52" s="398"/>
      <c r="D52" s="398"/>
      <c r="E52" s="398"/>
      <c r="F52" s="398"/>
      <c r="G52" s="398"/>
      <c r="H52" s="121"/>
    </row>
    <row r="53" spans="1:8" ht="12">
      <c r="A53" s="398"/>
      <c r="B53" s="398"/>
      <c r="C53" s="398"/>
      <c r="D53" s="398"/>
      <c r="E53" s="398"/>
      <c r="F53" s="398"/>
      <c r="G53" s="398"/>
      <c r="H53" s="121"/>
    </row>
    <row r="54" spans="1:8" ht="12">
      <c r="A54" s="398"/>
      <c r="B54" s="398"/>
      <c r="C54" s="398"/>
      <c r="D54" s="398"/>
      <c r="E54" s="398"/>
      <c r="F54" s="398"/>
      <c r="G54" s="398"/>
      <c r="H54" s="121"/>
    </row>
    <row r="55" spans="1:8" ht="12">
      <c r="A55" s="398"/>
      <c r="B55" s="398"/>
      <c r="C55" s="398"/>
      <c r="D55" s="398"/>
      <c r="E55" s="398"/>
      <c r="F55" s="398"/>
      <c r="G55" s="398"/>
      <c r="H55" s="121"/>
    </row>
    <row r="56" spans="1:8" ht="12">
      <c r="A56" s="398"/>
      <c r="B56" s="398"/>
      <c r="C56" s="398"/>
      <c r="D56" s="398"/>
      <c r="E56" s="398"/>
      <c r="F56" s="398"/>
      <c r="G56" s="398"/>
      <c r="H56" s="121"/>
    </row>
    <row r="57" spans="1:8" ht="12">
      <c r="A57" s="398"/>
      <c r="B57" s="398"/>
      <c r="C57" s="398"/>
      <c r="D57" s="398"/>
      <c r="E57" s="398"/>
      <c r="F57" s="398"/>
      <c r="G57" s="398"/>
      <c r="H57" s="121"/>
    </row>
    <row r="58" spans="1:8" ht="12">
      <c r="A58" s="398"/>
      <c r="B58" s="398"/>
      <c r="C58" s="398"/>
      <c r="D58" s="398"/>
      <c r="E58" s="398"/>
      <c r="F58" s="398"/>
      <c r="G58" s="398"/>
      <c r="H58" s="121"/>
    </row>
    <row r="59" spans="1:8" ht="12">
      <c r="A59" s="398"/>
      <c r="B59" s="398"/>
      <c r="C59" s="398"/>
      <c r="D59" s="398"/>
      <c r="E59" s="398"/>
      <c r="F59" s="398"/>
      <c r="G59" s="398"/>
      <c r="H59" s="121"/>
    </row>
    <row r="60" spans="1:8" ht="12">
      <c r="A60" s="398"/>
      <c r="B60" s="398"/>
      <c r="C60" s="398"/>
      <c r="D60" s="398"/>
      <c r="E60" s="398"/>
      <c r="F60" s="398"/>
      <c r="G60" s="398"/>
      <c r="H60" s="121"/>
    </row>
    <row r="61" spans="1:8" ht="12">
      <c r="A61" s="398"/>
      <c r="B61" s="398"/>
      <c r="C61" s="398"/>
      <c r="D61" s="398"/>
      <c r="E61" s="398"/>
      <c r="F61" s="398"/>
      <c r="G61" s="398"/>
      <c r="H61" s="121"/>
    </row>
    <row r="62" spans="1:8" ht="12">
      <c r="A62" s="398"/>
      <c r="B62" s="398"/>
      <c r="C62" s="398"/>
      <c r="D62" s="398"/>
      <c r="E62" s="398"/>
      <c r="F62" s="398"/>
      <c r="G62" s="398"/>
      <c r="H62" s="121"/>
    </row>
    <row r="63" spans="1:8" ht="12">
      <c r="A63" s="398"/>
      <c r="B63" s="398"/>
      <c r="C63" s="398"/>
      <c r="D63" s="398"/>
      <c r="E63" s="398"/>
      <c r="F63" s="398"/>
      <c r="G63" s="398"/>
      <c r="H63" s="121"/>
    </row>
    <row r="64" spans="1:8" ht="12">
      <c r="A64" s="398"/>
      <c r="B64" s="398"/>
      <c r="C64" s="398"/>
      <c r="D64" s="398"/>
      <c r="E64" s="398"/>
      <c r="F64" s="398"/>
      <c r="G64" s="398"/>
      <c r="H64" s="121"/>
    </row>
    <row r="65" ht="12">
      <c r="G65" s="96" t="s">
        <v>420</v>
      </c>
    </row>
    <row r="66" ht="12">
      <c r="G66" s="96" t="s">
        <v>420</v>
      </c>
    </row>
  </sheetData>
  <sheetProtection/>
  <mergeCells count="4">
    <mergeCell ref="A22:G64"/>
    <mergeCell ref="A7:J7"/>
    <mergeCell ref="A8:J8"/>
    <mergeCell ref="A9:J9"/>
  </mergeCells>
  <printOptions gridLines="1"/>
  <pageMargins left="0" right="0" top="0.3937007874015748" bottom="0.1968503937007874" header="0.5118110236220472" footer="0.5118110236220472"/>
  <pageSetup horizontalDpi="300" verticalDpi="300" orientation="landscape" paperSize="9" scale="70" r:id="rId2"/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1"/>
  <dimension ref="A1:J23"/>
  <sheetViews>
    <sheetView zoomScale="80" zoomScaleNormal="80" zoomScaleSheetLayoutView="100" zoomScalePageLayoutView="0" workbookViewId="0" topLeftCell="A53">
      <selection activeCell="K71" sqref="K71"/>
    </sheetView>
  </sheetViews>
  <sheetFormatPr defaultColWidth="9.140625" defaultRowHeight="12.75"/>
  <cols>
    <col min="1" max="1" width="30.7109375" style="0" customWidth="1"/>
    <col min="2" max="2" width="14.28125" style="0" customWidth="1"/>
    <col min="3" max="3" width="14.7109375" style="0" customWidth="1"/>
    <col min="4" max="4" width="11.421875" style="0" customWidth="1"/>
    <col min="5" max="5" width="13.8515625" style="0" customWidth="1"/>
    <col min="6" max="6" width="13.7109375" style="0" customWidth="1"/>
    <col min="7" max="7" width="11.421875" style="0" customWidth="1"/>
    <col min="8" max="8" width="15.28125" style="0" customWidth="1"/>
    <col min="9" max="9" width="13.7109375" style="0" customWidth="1"/>
    <col min="10" max="10" width="11.8515625" style="0" customWidth="1"/>
  </cols>
  <sheetData>
    <row r="1" spans="1:10" ht="12.75">
      <c r="A1" s="408" t="str">
        <f>Parâmetros!A7</f>
        <v>Município de :CARAÁ</v>
      </c>
      <c r="B1" s="409"/>
      <c r="C1" s="409"/>
      <c r="D1" s="409"/>
      <c r="E1" s="409"/>
      <c r="F1" s="409"/>
      <c r="G1" s="409"/>
      <c r="H1" s="409"/>
      <c r="I1" s="409"/>
      <c r="J1" s="410"/>
    </row>
    <row r="2" spans="1:10" ht="12.75">
      <c r="A2" s="411" t="s">
        <v>42</v>
      </c>
      <c r="B2" s="409"/>
      <c r="C2" s="409"/>
      <c r="D2" s="409"/>
      <c r="E2" s="409"/>
      <c r="F2" s="409"/>
      <c r="G2" s="409"/>
      <c r="H2" s="409"/>
      <c r="I2" s="409"/>
      <c r="J2" s="410"/>
    </row>
    <row r="3" spans="1:10" ht="12.75">
      <c r="A3" s="411" t="s">
        <v>175</v>
      </c>
      <c r="B3" s="409"/>
      <c r="C3" s="409"/>
      <c r="D3" s="409"/>
      <c r="E3" s="409"/>
      <c r="F3" s="409"/>
      <c r="G3" s="409"/>
      <c r="H3" s="409"/>
      <c r="I3" s="409"/>
      <c r="J3" s="410"/>
    </row>
    <row r="4" spans="1:10" ht="12.75">
      <c r="A4" s="393" t="s">
        <v>238</v>
      </c>
      <c r="B4" s="391"/>
      <c r="C4" s="391"/>
      <c r="D4" s="391"/>
      <c r="E4" s="391"/>
      <c r="F4" s="391"/>
      <c r="G4" s="391"/>
      <c r="H4" s="391"/>
      <c r="I4" s="391"/>
      <c r="J4" s="392"/>
    </row>
    <row r="5" spans="1:10" ht="17.25" customHeight="1">
      <c r="A5" s="411" t="s">
        <v>401</v>
      </c>
      <c r="B5" s="409"/>
      <c r="C5" s="409"/>
      <c r="D5" s="409"/>
      <c r="E5" s="409"/>
      <c r="F5" s="409"/>
      <c r="G5" s="409"/>
      <c r="H5" s="409"/>
      <c r="I5" s="409"/>
      <c r="J5" s="410"/>
    </row>
    <row r="6" spans="1:10" ht="21.75" customHeight="1">
      <c r="A6" s="92"/>
      <c r="B6" s="94"/>
      <c r="C6" s="94"/>
      <c r="D6" s="94"/>
      <c r="E6" s="94"/>
      <c r="F6" s="94"/>
      <c r="G6" s="94"/>
      <c r="H6" s="94"/>
      <c r="I6" s="94"/>
      <c r="J6" s="95"/>
    </row>
    <row r="7" spans="1:10" ht="15">
      <c r="A7" s="236" t="s">
        <v>287</v>
      </c>
      <c r="B7" s="413"/>
      <c r="C7" s="413"/>
      <c r="D7" s="413"/>
      <c r="E7" s="413"/>
      <c r="F7" s="413"/>
      <c r="G7" s="413"/>
      <c r="H7" s="414">
        <v>1</v>
      </c>
      <c r="I7" s="415"/>
      <c r="J7" s="415"/>
    </row>
    <row r="8" spans="1:10" s="30" customFormat="1" ht="12.75">
      <c r="A8" s="407" t="s">
        <v>97</v>
      </c>
      <c r="B8" s="407">
        <v>2017</v>
      </c>
      <c r="C8" s="407"/>
      <c r="D8" s="407"/>
      <c r="E8" s="407">
        <f>B8+1</f>
        <v>2018</v>
      </c>
      <c r="F8" s="407"/>
      <c r="G8" s="407"/>
      <c r="H8" s="407">
        <f>E8+1</f>
        <v>2019</v>
      </c>
      <c r="I8" s="407"/>
      <c r="J8" s="407"/>
    </row>
    <row r="9" spans="1:10" ht="15.75" customHeight="1">
      <c r="A9" s="407"/>
      <c r="B9" s="310" t="s">
        <v>98</v>
      </c>
      <c r="C9" s="310" t="s">
        <v>98</v>
      </c>
      <c r="D9" s="310" t="s">
        <v>99</v>
      </c>
      <c r="E9" s="310" t="s">
        <v>98</v>
      </c>
      <c r="F9" s="310" t="s">
        <v>98</v>
      </c>
      <c r="G9" s="310" t="s">
        <v>99</v>
      </c>
      <c r="H9" s="310" t="s">
        <v>98</v>
      </c>
      <c r="I9" s="310" t="s">
        <v>98</v>
      </c>
      <c r="J9" s="311" t="s">
        <v>99</v>
      </c>
    </row>
    <row r="10" spans="1:10" ht="15.75" customHeight="1">
      <c r="A10" s="407"/>
      <c r="B10" s="310" t="s">
        <v>100</v>
      </c>
      <c r="C10" s="310" t="s">
        <v>101</v>
      </c>
      <c r="D10" s="310" t="s">
        <v>102</v>
      </c>
      <c r="E10" s="310" t="s">
        <v>100</v>
      </c>
      <c r="F10" s="310" t="s">
        <v>101</v>
      </c>
      <c r="G10" s="310" t="s">
        <v>103</v>
      </c>
      <c r="H10" s="310" t="s">
        <v>100</v>
      </c>
      <c r="I10" s="310" t="s">
        <v>101</v>
      </c>
      <c r="J10" s="311" t="s">
        <v>104</v>
      </c>
    </row>
    <row r="11" spans="1:10" ht="15.75" customHeight="1">
      <c r="A11" s="407"/>
      <c r="B11" s="310" t="s">
        <v>105</v>
      </c>
      <c r="C11" s="312"/>
      <c r="D11" s="310" t="s">
        <v>106</v>
      </c>
      <c r="E11" s="310" t="s">
        <v>107</v>
      </c>
      <c r="F11" s="312"/>
      <c r="G11" s="310" t="s">
        <v>106</v>
      </c>
      <c r="H11" s="310" t="s">
        <v>108</v>
      </c>
      <c r="I11" s="312"/>
      <c r="J11" s="311" t="s">
        <v>106</v>
      </c>
    </row>
    <row r="12" spans="1:10" ht="15">
      <c r="A12" s="313" t="s">
        <v>109</v>
      </c>
      <c r="B12" s="314">
        <f>Projeções!G35</f>
        <v>32825089.72401243</v>
      </c>
      <c r="C12" s="314">
        <f>B12/(1+Parâmetros!E11)</f>
        <v>31193661.241102755</v>
      </c>
      <c r="D12" s="315">
        <f>B12/(Parâmetros!E20)/1000000</f>
        <v>7.278848912891383E-05</v>
      </c>
      <c r="E12" s="314">
        <f>Projeções!H35</f>
        <v>39332502.14431009</v>
      </c>
      <c r="F12" s="314">
        <f>E12/((1+Parâmetros!E11)*(1+Parâmetros!F11))</f>
        <v>35686128.50597545</v>
      </c>
      <c r="G12" s="315">
        <f>E12/(Parâmetros!F20)/1000000</f>
        <v>7.975005193036555E-05</v>
      </c>
      <c r="H12" s="314">
        <f>Projeções!I35</f>
        <v>46445627.20463016</v>
      </c>
      <c r="I12" s="314">
        <f>H12/((1+Parâmetros!E11)*(1+Parâmetros!F11)*(1+Parâmetros!G11))</f>
        <v>40294340.73150141</v>
      </c>
      <c r="J12" s="315" t="e">
        <f>H12/(Parâmetros!G20)/1000000</f>
        <v>#VALUE!</v>
      </c>
    </row>
    <row r="13" spans="1:10" ht="15">
      <c r="A13" s="313" t="s">
        <v>176</v>
      </c>
      <c r="B13" s="314">
        <f>B12-(Projeções!G15+Projeções!G27+Projeções!G28+Projeções!G29)</f>
        <v>30116499.14783588</v>
      </c>
      <c r="C13" s="314">
        <f>B13/(1+Parâmetros!E11)</f>
        <v>28619689.392602757</v>
      </c>
      <c r="D13" s="315">
        <f>B13/(Parâmetros!E20)/1000000</f>
        <v>6.678228419950333E-05</v>
      </c>
      <c r="E13" s="314">
        <f>E12-(Projeções!H15+Projeções!H27+Projeções!H28+Projeções!H29)</f>
        <v>36495524.374822766</v>
      </c>
      <c r="F13" s="314">
        <f>E13/((1+Parâmetros!E11)*(1+Parâmetros!F11))</f>
        <v>33112156.657475445</v>
      </c>
      <c r="G13" s="315">
        <f>E13/(Parâmetros!F20)/1000000</f>
        <v>7.399783399081512E-05</v>
      </c>
      <c r="H13" s="314">
        <f>H12-(Projeções!I15+Projeções!I27+Projeções!I28+Projeções!I29)</f>
        <v>43478715.85330032</v>
      </c>
      <c r="I13" s="314">
        <f>H13/((1+Parâmetros!E11)*(1+Parâmetros!F11)*(1+Parâmetros!G11))</f>
        <v>37720368.88300141</v>
      </c>
      <c r="J13" s="315" t="e">
        <f>H13/(Parâmetros!G20)/1000000</f>
        <v>#VALUE!</v>
      </c>
    </row>
    <row r="14" spans="1:10" ht="15">
      <c r="A14" s="313" t="s">
        <v>110</v>
      </c>
      <c r="B14" s="314">
        <f>Projeções!G60</f>
        <v>32825089.724012427</v>
      </c>
      <c r="C14" s="314">
        <f>B14/(1+Parâmetros!E11)</f>
        <v>31193661.24110275</v>
      </c>
      <c r="D14" s="315">
        <f>B14/(Parâmetros!E20)/1000000</f>
        <v>7.278848912891381E-05</v>
      </c>
      <c r="E14" s="314">
        <f>Projeções!H60</f>
        <v>39332502.14431009</v>
      </c>
      <c r="F14" s="314">
        <f>E14/((1+Parâmetros!E11)*(1+Parâmetros!F11))</f>
        <v>35686128.50597545</v>
      </c>
      <c r="G14" s="315">
        <f>E14/(Parâmetros!F20)/1000000</f>
        <v>7.975005193036555E-05</v>
      </c>
      <c r="H14" s="314">
        <f>Projeções!I60</f>
        <v>46445627.20463016</v>
      </c>
      <c r="I14" s="314">
        <f>H14/((1+Parâmetros!E11)*(1+Parâmetros!F11)*(1+Parâmetros!G11))</f>
        <v>40294340.73150141</v>
      </c>
      <c r="J14" s="315" t="e">
        <f>H14/(Parâmetros!G20)/1000000</f>
        <v>#VALUE!</v>
      </c>
    </row>
    <row r="15" spans="1:10" ht="15">
      <c r="A15" s="313" t="s">
        <v>177</v>
      </c>
      <c r="B15" s="314">
        <f>B14-(Projeções!G44+Projeções!G55+Projeções!G57)</f>
        <v>32566974.63960061</v>
      </c>
      <c r="C15" s="314">
        <f>B15/(1+Parâmetros!E11)</f>
        <v>30948374.64563395</v>
      </c>
      <c r="D15" s="315">
        <f>B15/(Parâmetros!E20)/1000000</f>
        <v>7.221612795111711E-05</v>
      </c>
      <c r="E15" s="314">
        <f>E14-(Projeções!H44+Projeções!H55+Projeções!H57)</f>
        <v>39033657.542363025</v>
      </c>
      <c r="F15" s="314">
        <f>E15/((1+Parâmetros!E11)*(1+Parâmetros!F11))</f>
        <v>35414988.70334423</v>
      </c>
      <c r="G15" s="315">
        <f>E15/(Parâmetros!F20)/1000000</f>
        <v>7.914411863792093E-05</v>
      </c>
      <c r="H15" s="314">
        <f>H14-(Projeções!I44+Projeções!I55+Projeções!I57)</f>
        <v>46101592.32609452</v>
      </c>
      <c r="I15" s="314">
        <f>H15/((1+Parâmetros!E11)*(1+Parâmetros!F11)*(1+Parâmetros!G11))</f>
        <v>39995870.03676497</v>
      </c>
      <c r="J15" s="315" t="e">
        <f>H15/(Parâmetros!G20)/1000000</f>
        <v>#VALUE!</v>
      </c>
    </row>
    <row r="16" spans="1:10" ht="15">
      <c r="A16" s="313" t="s">
        <v>111</v>
      </c>
      <c r="B16" s="314">
        <f>B13-B15</f>
        <v>-2450475.491764728</v>
      </c>
      <c r="C16" s="314">
        <f>C13-C15</f>
        <v>-2328685.253031194</v>
      </c>
      <c r="D16" s="315">
        <f>B16/(Parâmetros!E20)/1000000</f>
        <v>-5.433843751613781E-06</v>
      </c>
      <c r="E16" s="314">
        <f>E13-E15</f>
        <v>-2538133.1675402597</v>
      </c>
      <c r="F16" s="314">
        <f>F13-F15</f>
        <v>-2302832.045868788</v>
      </c>
      <c r="G16" s="315">
        <f>E16/(Parâmetros!F20)/1000000</f>
        <v>-5.1462846471057996E-06</v>
      </c>
      <c r="H16" s="314">
        <f>H13-H15</f>
        <v>-2622876.472794205</v>
      </c>
      <c r="I16" s="314">
        <f>I13-I15</f>
        <v>-2275501.1537635624</v>
      </c>
      <c r="J16" s="315" t="e">
        <f>H16/(Parâmetros!G20)/1000000</f>
        <v>#VALUE!</v>
      </c>
    </row>
    <row r="17" spans="1:10" ht="15">
      <c r="A17" s="313" t="s">
        <v>112</v>
      </c>
      <c r="B17" s="314">
        <f>Dívida!E12</f>
        <v>-258115.08441181824</v>
      </c>
      <c r="C17" s="314">
        <f>B17/(1+Parâmetros!E11)</f>
        <v>-245286.5954688</v>
      </c>
      <c r="D17" s="315">
        <f>B17/(Parâmetros!E20)/1000000</f>
        <v>-5.723611777967061E-07</v>
      </c>
      <c r="E17" s="314">
        <f>Dívida!F12</f>
        <v>-326049.9318440678</v>
      </c>
      <c r="F17" s="314">
        <f>E17/((1+Parâmetros!E11)*(1+Parâmetros!F11))</f>
        <v>-295823.02505092847</v>
      </c>
      <c r="G17" s="315">
        <f>E17/(Parâmetros!F20)/1000000</f>
        <v>-6.610944531587124E-07</v>
      </c>
      <c r="H17" s="314">
        <f>Dívida!G12</f>
        <v>-402918.7121742277</v>
      </c>
      <c r="I17" s="314">
        <f>H17/((1+Parâmetros!E11)*(1+Parâmetros!F11)*(1+Parâmetros!G11))</f>
        <v>-349555.91844882176</v>
      </c>
      <c r="J17" s="315" t="e">
        <f>H17/(Parâmetros!G20)/1000000</f>
        <v>#VALUE!</v>
      </c>
    </row>
    <row r="18" spans="1:10" ht="15">
      <c r="A18" s="313" t="s">
        <v>113</v>
      </c>
      <c r="B18" s="314">
        <f>Dívida!E7</f>
        <v>-258115.08441181824</v>
      </c>
      <c r="C18" s="314">
        <f>B18/(1+Parâmetros!E11)</f>
        <v>-245286.5954688</v>
      </c>
      <c r="D18" s="315">
        <f>B18/(Parâmetros!E20)/1000000</f>
        <v>-5.723611777967061E-07</v>
      </c>
      <c r="E18" s="314">
        <f>Dívida!F7</f>
        <v>-584165.0162558861</v>
      </c>
      <c r="F18" s="314">
        <f>E18/((1+Parâmetros!E11)*(1+Parâmetros!F11))</f>
        <v>-530009.1960159848</v>
      </c>
      <c r="G18" s="315">
        <f>E18/(Parâmetros!F20)/1000000</f>
        <v>-1.1844451240702252E-06</v>
      </c>
      <c r="H18" s="314">
        <f>Dívida!G7</f>
        <v>-987083.7284301138</v>
      </c>
      <c r="I18" s="314">
        <f>H18/((1+Parâmetros!E11)*(1+Parâmetros!F11)*(1+Parâmetros!G11))</f>
        <v>-856353.7727383462</v>
      </c>
      <c r="J18" s="315" t="e">
        <f>H18/(Parâmetros!G20)/1000000</f>
        <v>#VALUE!</v>
      </c>
    </row>
    <row r="19" spans="1:10" ht="15">
      <c r="A19" s="313" t="s">
        <v>114</v>
      </c>
      <c r="B19" s="314">
        <f>Dívida!E9</f>
        <v>-258115.08441181824</v>
      </c>
      <c r="C19" s="314">
        <f>B19/(1+Parâmetros!E11)</f>
        <v>-245286.5954688</v>
      </c>
      <c r="D19" s="315">
        <f>B19/(Parâmetros!E20)/1000000</f>
        <v>-5.723611777967061E-07</v>
      </c>
      <c r="E19" s="314">
        <f>Dívida!F9</f>
        <v>-584165.0162558861</v>
      </c>
      <c r="F19" s="314">
        <f>E19/((1+Parâmetros!E11)*(1+Parâmetros!F11))</f>
        <v>-530009.1960159848</v>
      </c>
      <c r="G19" s="315">
        <f>E19/(Parâmetros!F20)/1000000</f>
        <v>-1.1844451240702252E-06</v>
      </c>
      <c r="H19" s="314">
        <f>Dívida!G9</f>
        <v>-987083.7284301138</v>
      </c>
      <c r="I19" s="314">
        <f>H19/((1+Parâmetros!E11)*(1+Parâmetros!F11)*(1+Parâmetros!G11))</f>
        <v>-856353.7727383462</v>
      </c>
      <c r="J19" s="315" t="e">
        <f>H19/(Parâmetros!G20)/1000000</f>
        <v>#VALUE!</v>
      </c>
    </row>
    <row r="20" spans="1:10" ht="15">
      <c r="A20" s="313" t="s">
        <v>390</v>
      </c>
      <c r="B20" s="314">
        <v>0</v>
      </c>
      <c r="C20" s="314">
        <v>0</v>
      </c>
      <c r="D20" s="315">
        <v>0</v>
      </c>
      <c r="E20" s="314">
        <v>0</v>
      </c>
      <c r="F20" s="314">
        <v>0</v>
      </c>
      <c r="G20" s="315">
        <v>0</v>
      </c>
      <c r="H20" s="314">
        <v>0</v>
      </c>
      <c r="I20" s="314">
        <v>0</v>
      </c>
      <c r="J20" s="315">
        <v>0</v>
      </c>
    </row>
    <row r="21" spans="1:10" ht="15">
      <c r="A21" s="313" t="s">
        <v>391</v>
      </c>
      <c r="B21" s="314">
        <v>0</v>
      </c>
      <c r="C21" s="314">
        <v>0</v>
      </c>
      <c r="D21" s="315">
        <v>0</v>
      </c>
      <c r="E21" s="314">
        <v>0</v>
      </c>
      <c r="F21" s="314">
        <v>0</v>
      </c>
      <c r="G21" s="315">
        <v>0</v>
      </c>
      <c r="H21" s="314">
        <v>0</v>
      </c>
      <c r="I21" s="314">
        <v>0</v>
      </c>
      <c r="J21" s="315">
        <v>0</v>
      </c>
    </row>
    <row r="22" spans="1:10" ht="15">
      <c r="A22" s="313" t="s">
        <v>392</v>
      </c>
      <c r="B22" s="314">
        <v>0</v>
      </c>
      <c r="C22" s="314">
        <v>0</v>
      </c>
      <c r="D22" s="315">
        <v>0</v>
      </c>
      <c r="E22" s="314">
        <v>0</v>
      </c>
      <c r="F22" s="314">
        <v>0</v>
      </c>
      <c r="G22" s="315">
        <v>0</v>
      </c>
      <c r="H22" s="314">
        <v>0</v>
      </c>
      <c r="I22" s="314">
        <v>0</v>
      </c>
      <c r="J22" s="315">
        <v>0</v>
      </c>
    </row>
    <row r="23" spans="1:10" ht="12.75">
      <c r="A23" s="412" t="s">
        <v>394</v>
      </c>
      <c r="B23" s="412"/>
      <c r="C23" s="412"/>
      <c r="D23" s="412"/>
      <c r="E23" s="412"/>
      <c r="F23" s="412"/>
      <c r="G23" s="412"/>
      <c r="H23" s="412"/>
      <c r="I23" s="412"/>
      <c r="J23" s="412"/>
    </row>
    <row r="24" s="93" customFormat="1" ht="15" customHeight="1"/>
  </sheetData>
  <sheetProtection/>
  <mergeCells count="13">
    <mergeCell ref="A23:J23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</mergeCells>
  <printOptions/>
  <pageMargins left="0.787401575" right="0.787401575" top="0.984251969" bottom="0.984251969" header="0.492125985" footer="0.492125985"/>
  <pageSetup horizontalDpi="300" verticalDpi="3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Normal="90" zoomScaleSheetLayoutView="100" zoomScalePageLayoutView="0" workbookViewId="0" topLeftCell="A1">
      <selection activeCell="A14" sqref="A14"/>
    </sheetView>
  </sheetViews>
  <sheetFormatPr defaultColWidth="9.140625" defaultRowHeight="12.75"/>
  <cols>
    <col min="1" max="1" width="30.00390625" style="0" customWidth="1"/>
    <col min="2" max="2" width="12.140625" style="0" customWidth="1"/>
    <col min="3" max="3" width="13.421875" style="0" customWidth="1"/>
    <col min="4" max="4" width="12.140625" style="0" customWidth="1"/>
    <col min="5" max="6" width="12.8515625" style="0" customWidth="1"/>
    <col min="7" max="7" width="10.7109375" style="0" customWidth="1"/>
    <col min="8" max="8" width="12.8515625" style="0" customWidth="1"/>
    <col min="9" max="9" width="13.140625" style="0" customWidth="1"/>
    <col min="10" max="10" width="10.140625" style="0" customWidth="1"/>
  </cols>
  <sheetData>
    <row r="1" spans="1:10" ht="12.75">
      <c r="A1" s="416" t="str">
        <f>Parâmetros!A7</f>
        <v>Município de :CARAÁ</v>
      </c>
      <c r="B1" s="417"/>
      <c r="C1" s="417"/>
      <c r="D1" s="417"/>
      <c r="E1" s="417"/>
      <c r="F1" s="417"/>
      <c r="G1" s="417"/>
      <c r="H1" s="417"/>
      <c r="I1" s="417"/>
      <c r="J1" s="418"/>
    </row>
    <row r="2" spans="1:10" ht="12.75">
      <c r="A2" s="419" t="s">
        <v>42</v>
      </c>
      <c r="B2" s="417"/>
      <c r="C2" s="417"/>
      <c r="D2" s="417"/>
      <c r="E2" s="417"/>
      <c r="F2" s="417"/>
      <c r="G2" s="417"/>
      <c r="H2" s="417"/>
      <c r="I2" s="417"/>
      <c r="J2" s="418"/>
    </row>
    <row r="3" spans="1:10" ht="12.75">
      <c r="A3" s="419" t="s">
        <v>175</v>
      </c>
      <c r="B3" s="417"/>
      <c r="C3" s="417"/>
      <c r="D3" s="417"/>
      <c r="E3" s="417"/>
      <c r="F3" s="417"/>
      <c r="G3" s="417"/>
      <c r="H3" s="417"/>
      <c r="I3" s="417"/>
      <c r="J3" s="418"/>
    </row>
    <row r="4" spans="1:10" ht="12.75">
      <c r="A4" s="420" t="s">
        <v>239</v>
      </c>
      <c r="B4" s="421"/>
      <c r="C4" s="421"/>
      <c r="D4" s="421"/>
      <c r="E4" s="421"/>
      <c r="F4" s="421"/>
      <c r="G4" s="421"/>
      <c r="H4" s="421"/>
      <c r="I4" s="421"/>
      <c r="J4" s="422"/>
    </row>
    <row r="5" spans="1:10" ht="17.25" customHeight="1">
      <c r="A5" s="419" t="s">
        <v>401</v>
      </c>
      <c r="B5" s="417"/>
      <c r="C5" s="417"/>
      <c r="D5" s="417"/>
      <c r="E5" s="417"/>
      <c r="F5" s="417"/>
      <c r="G5" s="417"/>
      <c r="H5" s="417"/>
      <c r="I5" s="417"/>
      <c r="J5" s="418"/>
    </row>
    <row r="6" spans="1:10" ht="21.7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ht="15">
      <c r="A7" s="236" t="s">
        <v>287</v>
      </c>
      <c r="B7" s="413"/>
      <c r="C7" s="413"/>
      <c r="D7" s="413"/>
      <c r="E7" s="413"/>
      <c r="F7" s="413"/>
      <c r="G7" s="413"/>
      <c r="H7" s="414">
        <v>1</v>
      </c>
      <c r="I7" s="415"/>
      <c r="J7" s="415"/>
    </row>
    <row r="8" spans="1:10" s="30" customFormat="1" ht="12.75">
      <c r="A8" s="424" t="s">
        <v>97</v>
      </c>
      <c r="B8" s="427">
        <v>2017</v>
      </c>
      <c r="C8" s="428"/>
      <c r="D8" s="429"/>
      <c r="E8" s="427">
        <f>B8+1</f>
        <v>2018</v>
      </c>
      <c r="F8" s="428"/>
      <c r="G8" s="429"/>
      <c r="H8" s="427">
        <f>E8+1</f>
        <v>2019</v>
      </c>
      <c r="I8" s="428"/>
      <c r="J8" s="429"/>
    </row>
    <row r="9" spans="1:10" ht="15.75" customHeight="1">
      <c r="A9" s="425"/>
      <c r="B9" s="368" t="s">
        <v>98</v>
      </c>
      <c r="C9" s="369" t="s">
        <v>98</v>
      </c>
      <c r="D9" s="369" t="s">
        <v>99</v>
      </c>
      <c r="E9" s="369" t="s">
        <v>98</v>
      </c>
      <c r="F9" s="369" t="s">
        <v>98</v>
      </c>
      <c r="G9" s="369" t="s">
        <v>99</v>
      </c>
      <c r="H9" s="369" t="s">
        <v>98</v>
      </c>
      <c r="I9" s="369" t="s">
        <v>98</v>
      </c>
      <c r="J9" s="370" t="s">
        <v>99</v>
      </c>
    </row>
    <row r="10" spans="1:10" ht="15.75" customHeight="1">
      <c r="A10" s="425"/>
      <c r="B10" s="371" t="s">
        <v>100</v>
      </c>
      <c r="C10" s="372" t="s">
        <v>101</v>
      </c>
      <c r="D10" s="372" t="s">
        <v>102</v>
      </c>
      <c r="E10" s="372" t="s">
        <v>100</v>
      </c>
      <c r="F10" s="372" t="s">
        <v>101</v>
      </c>
      <c r="G10" s="372" t="s">
        <v>103</v>
      </c>
      <c r="H10" s="372" t="s">
        <v>100</v>
      </c>
      <c r="I10" s="372" t="s">
        <v>101</v>
      </c>
      <c r="J10" s="373" t="s">
        <v>104</v>
      </c>
    </row>
    <row r="11" spans="1:10" ht="15.75" customHeight="1">
      <c r="A11" s="426"/>
      <c r="B11" s="374" t="s">
        <v>105</v>
      </c>
      <c r="C11" s="375"/>
      <c r="D11" s="376" t="s">
        <v>106</v>
      </c>
      <c r="E11" s="376" t="s">
        <v>107</v>
      </c>
      <c r="F11" s="375"/>
      <c r="G11" s="376" t="s">
        <v>106</v>
      </c>
      <c r="H11" s="376" t="s">
        <v>108</v>
      </c>
      <c r="I11" s="375"/>
      <c r="J11" s="377" t="s">
        <v>106</v>
      </c>
    </row>
    <row r="12" spans="1:10" ht="15">
      <c r="A12" s="378" t="s">
        <v>233</v>
      </c>
      <c r="B12" s="387">
        <f>Projeções!G13+Projeções!G17+Projeções!G25+Projeções!G32</f>
        <v>4679244.95707835</v>
      </c>
      <c r="C12" s="379">
        <f>B12/(1+Parâmetros!E11)</f>
        <v>4446683.4145</v>
      </c>
      <c r="D12" s="380">
        <f>B12/(Parâmetros!E20)/1000000</f>
        <v>1.0376062138854348E-05</v>
      </c>
      <c r="E12" s="379">
        <f>Projeções!H13+Projeções!H17+Projeções!H25+Projeções!H32</f>
        <v>4901041.168043864</v>
      </c>
      <c r="F12" s="379">
        <f>E12/((1+Parâmetros!E11)*(1+Parâmetros!F11))</f>
        <v>4446683.4145</v>
      </c>
      <c r="G12" s="380">
        <f>E12/(Parâmetros!F20)/1000000</f>
        <v>9.937285104067552E-06</v>
      </c>
      <c r="H12" s="379">
        <f>Projeções!I13+Projeções!I17+Projeções!I25+Projeções!I32</f>
        <v>5125508.853540273</v>
      </c>
      <c r="I12" s="379">
        <f>H12/((1+Parâmetros!E11)*(1+Parâmetros!F11)*(1+Parâmetros!G11))</f>
        <v>4446683.4145</v>
      </c>
      <c r="J12" s="627" t="e">
        <f>H12/(Parâmetros!G20)/1000000</f>
        <v>#VALUE!</v>
      </c>
    </row>
    <row r="13" spans="1:10" ht="15">
      <c r="A13" s="378" t="s">
        <v>234</v>
      </c>
      <c r="B13" s="387">
        <f>B12-Projeções!G17</f>
        <v>2283758.4157375</v>
      </c>
      <c r="C13" s="379">
        <f>B13/(1+Parâmetros!E11)</f>
        <v>2170254.125</v>
      </c>
      <c r="D13" s="380">
        <f>B13/(Parâmetros!E20)/1000000</f>
        <v>5.064154462778873E-06</v>
      </c>
      <c r="E13" s="379">
        <f>E12-Projeções!H17</f>
        <v>2392008.5646434575</v>
      </c>
      <c r="F13" s="379">
        <f>E13/((1+Parâmetros!E11)*(1+Parâmetros!F11))</f>
        <v>2170254.125</v>
      </c>
      <c r="G13" s="380">
        <f>E13/(Parâmetros!F20)/1000000</f>
        <v>4.850004369116676E-06</v>
      </c>
      <c r="H13" s="379">
        <f>H12-Projeções!I17</f>
        <v>2501562.5569041283</v>
      </c>
      <c r="I13" s="379">
        <f>H13/((1+Parâmetros!E11)*(1+Parâmetros!F11)*(1+Parâmetros!G11))</f>
        <v>2170254.125</v>
      </c>
      <c r="J13" s="627" t="e">
        <f>H13/(Parâmetros!G20)/1000000</f>
        <v>#VALUE!</v>
      </c>
    </row>
    <row r="14" spans="1:10" ht="15">
      <c r="A14" s="378" t="s">
        <v>235</v>
      </c>
      <c r="B14" s="387">
        <f>Projeções!G43+Projeções!G46+Projeções!G49+Projeções!G53+Projeções!G59</f>
        <v>4679244.95707835</v>
      </c>
      <c r="C14" s="379">
        <f>B14/(1+Parâmetros!E11)</f>
        <v>4446683.4145</v>
      </c>
      <c r="D14" s="380">
        <f>B14/(Parâmetros!E20)/1000000</f>
        <v>1.0376062138854348E-05</v>
      </c>
      <c r="E14" s="379">
        <f>Projeções!H43+Projeções!H46+Projeções!H49+Projeções!H53+Projeções!H59</f>
        <v>4901041.168043864</v>
      </c>
      <c r="F14" s="379">
        <f>E14/((1+Parâmetros!E11)*(1+Parâmetros!F11))</f>
        <v>4446683.4145</v>
      </c>
      <c r="G14" s="380">
        <f>E14/(Parâmetros!F20)/1000000</f>
        <v>9.937285104067552E-06</v>
      </c>
      <c r="H14" s="379">
        <f>Projeções!I43+Projeções!I46+Projeções!I49+Projeções!I53+Projeções!I59</f>
        <v>5125508.853540273</v>
      </c>
      <c r="I14" s="379">
        <f>H14/((1+Parâmetros!E11)*(1+Parâmetros!F11)*(1+Parâmetros!G11))</f>
        <v>4446683.4145</v>
      </c>
      <c r="J14" s="627" t="e">
        <f>H14/(Parâmetros!G20)/1000000</f>
        <v>#VALUE!</v>
      </c>
    </row>
    <row r="15" spans="1:10" ht="15">
      <c r="A15" s="378" t="s">
        <v>236</v>
      </c>
      <c r="B15" s="387">
        <f>B14-Projeções!G46</f>
        <v>4679244.95707835</v>
      </c>
      <c r="C15" s="379">
        <f>B15/(1+Parâmetros!E11)</f>
        <v>4446683.4145</v>
      </c>
      <c r="D15" s="380">
        <f>B15/(Parâmetros!E20)/1000000</f>
        <v>1.0376062138854348E-05</v>
      </c>
      <c r="E15" s="379">
        <f>E14-Projeções!H46</f>
        <v>4901041.168043864</v>
      </c>
      <c r="F15" s="379">
        <f>E15/((1+Parâmetros!E11)*(1+Parâmetros!F11))</f>
        <v>4446683.4145</v>
      </c>
      <c r="G15" s="380">
        <f>E15/(Parâmetros!F20)/1000000</f>
        <v>9.937285104067552E-06</v>
      </c>
      <c r="H15" s="379">
        <f>H14-Projeções!I46</f>
        <v>5125508.853540273</v>
      </c>
      <c r="I15" s="379">
        <f>H15/((1+Parâmetros!E11)*(1+Parâmetros!F11)*(1+Parâmetros!G11))</f>
        <v>4446683.4145</v>
      </c>
      <c r="J15" s="627" t="e">
        <f>H15/(Parâmetros!G20)/1000000</f>
        <v>#VALUE!</v>
      </c>
    </row>
    <row r="16" spans="1:10" ht="15">
      <c r="A16" s="378" t="s">
        <v>237</v>
      </c>
      <c r="B16" s="387">
        <f>B13-B15</f>
        <v>-2395486.54134085</v>
      </c>
      <c r="C16" s="379">
        <f>C13-C15</f>
        <v>-2276429.2895</v>
      </c>
      <c r="D16" s="380">
        <f>B16/(Parâmetros!E20)/1000000</f>
        <v>-5.311907676075475E-06</v>
      </c>
      <c r="E16" s="387">
        <f>E13-E15</f>
        <v>-2509032.6034004064</v>
      </c>
      <c r="F16" s="387">
        <f>F13-F15</f>
        <v>-2276429.2895</v>
      </c>
      <c r="G16" s="380">
        <f>E16/(Parâmetros!F20)/1000000</f>
        <v>-5.087280734950876E-06</v>
      </c>
      <c r="H16" s="387">
        <f>H13-H15</f>
        <v>-2623946.296636145</v>
      </c>
      <c r="I16" s="379">
        <f>I13-I15</f>
        <v>-2276429.2895</v>
      </c>
      <c r="J16" s="627" t="e">
        <f>H16/(Parâmetros!G20)/1000000</f>
        <v>#VALUE!</v>
      </c>
    </row>
    <row r="17" spans="1:10" ht="12.75">
      <c r="A17" s="423" t="s">
        <v>393</v>
      </c>
      <c r="B17" s="423"/>
      <c r="C17" s="423"/>
      <c r="D17" s="423"/>
      <c r="E17" s="423"/>
      <c r="F17" s="423"/>
      <c r="G17" s="423"/>
      <c r="H17" s="423"/>
      <c r="I17" s="423"/>
      <c r="J17" s="423"/>
    </row>
    <row r="18" s="93" customFormat="1" ht="15" customHeight="1"/>
  </sheetData>
  <sheetProtection/>
  <mergeCells count="13">
    <mergeCell ref="B7:D7"/>
    <mergeCell ref="E7:G7"/>
    <mergeCell ref="H7:J7"/>
    <mergeCell ref="A1:J1"/>
    <mergeCell ref="A2:J2"/>
    <mergeCell ref="A3:J3"/>
    <mergeCell ref="A4:J4"/>
    <mergeCell ref="A17:J17"/>
    <mergeCell ref="A8:A11"/>
    <mergeCell ref="B8:D8"/>
    <mergeCell ref="E8:G8"/>
    <mergeCell ref="H8:J8"/>
    <mergeCell ref="A5:J5"/>
  </mergeCells>
  <printOptions/>
  <pageMargins left="0.787401575" right="0.787401575" top="0.984251969" bottom="0.984251969" header="0.492125985" footer="0.492125985"/>
  <pageSetup horizontalDpi="300" verticalDpi="300" orientation="portrait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Normal="90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29.140625" style="0" customWidth="1"/>
    <col min="2" max="2" width="14.8515625" style="0" customWidth="1"/>
    <col min="3" max="3" width="14.28125" style="0" customWidth="1"/>
    <col min="4" max="4" width="12.140625" style="0" customWidth="1"/>
    <col min="5" max="5" width="14.00390625" style="0" customWidth="1"/>
    <col min="6" max="6" width="14.140625" style="0" customWidth="1"/>
    <col min="7" max="7" width="10.7109375" style="0" customWidth="1"/>
    <col min="8" max="8" width="15.140625" style="0" customWidth="1"/>
    <col min="9" max="9" width="14.140625" style="0" customWidth="1"/>
    <col min="10" max="10" width="11.140625" style="0" customWidth="1"/>
  </cols>
  <sheetData>
    <row r="1" spans="1:10" ht="12.75">
      <c r="A1" s="408" t="str">
        <f>Parâmetros!A7</f>
        <v>Município de :CARAÁ</v>
      </c>
      <c r="B1" s="409"/>
      <c r="C1" s="409"/>
      <c r="D1" s="409"/>
      <c r="E1" s="409"/>
      <c r="F1" s="409"/>
      <c r="G1" s="409"/>
      <c r="H1" s="409"/>
      <c r="I1" s="409"/>
      <c r="J1" s="410"/>
    </row>
    <row r="2" spans="1:10" ht="12.75">
      <c r="A2" s="419" t="s">
        <v>42</v>
      </c>
      <c r="B2" s="417"/>
      <c r="C2" s="417"/>
      <c r="D2" s="417"/>
      <c r="E2" s="417"/>
      <c r="F2" s="417"/>
      <c r="G2" s="417"/>
      <c r="H2" s="417"/>
      <c r="I2" s="417"/>
      <c r="J2" s="418"/>
    </row>
    <row r="3" spans="1:10" ht="12.75">
      <c r="A3" s="419" t="s">
        <v>175</v>
      </c>
      <c r="B3" s="417"/>
      <c r="C3" s="417"/>
      <c r="D3" s="417"/>
      <c r="E3" s="417"/>
      <c r="F3" s="417"/>
      <c r="G3" s="417"/>
      <c r="H3" s="417"/>
      <c r="I3" s="417"/>
      <c r="J3" s="418"/>
    </row>
    <row r="4" spans="1:10" ht="12.75">
      <c r="A4" s="420" t="s">
        <v>240</v>
      </c>
      <c r="B4" s="421"/>
      <c r="C4" s="421"/>
      <c r="D4" s="421"/>
      <c r="E4" s="421"/>
      <c r="F4" s="421"/>
      <c r="G4" s="421"/>
      <c r="H4" s="421"/>
      <c r="I4" s="421"/>
      <c r="J4" s="422"/>
    </row>
    <row r="5" spans="1:10" ht="17.25" customHeight="1">
      <c r="A5" s="419" t="s">
        <v>401</v>
      </c>
      <c r="B5" s="417"/>
      <c r="C5" s="417"/>
      <c r="D5" s="417"/>
      <c r="E5" s="417"/>
      <c r="F5" s="417"/>
      <c r="G5" s="417"/>
      <c r="H5" s="417"/>
      <c r="I5" s="417"/>
      <c r="J5" s="418"/>
    </row>
    <row r="6" spans="1:10" ht="21.75" customHeight="1">
      <c r="A6" s="365"/>
      <c r="B6" s="366"/>
      <c r="C6" s="366"/>
      <c r="D6" s="366"/>
      <c r="E6" s="366"/>
      <c r="F6" s="366"/>
      <c r="G6" s="366"/>
      <c r="H6" s="366"/>
      <c r="I6" s="366"/>
      <c r="J6" s="367"/>
    </row>
    <row r="7" spans="1:10" ht="22.5">
      <c r="A7" s="236" t="s">
        <v>288</v>
      </c>
      <c r="B7" s="413"/>
      <c r="C7" s="413"/>
      <c r="D7" s="413"/>
      <c r="E7" s="413"/>
      <c r="F7" s="413"/>
      <c r="G7" s="413"/>
      <c r="H7" s="414">
        <v>1</v>
      </c>
      <c r="I7" s="415"/>
      <c r="J7" s="415"/>
    </row>
    <row r="8" spans="1:10" s="30" customFormat="1" ht="12.75">
      <c r="A8" s="424" t="s">
        <v>97</v>
      </c>
      <c r="B8" s="427">
        <v>2017</v>
      </c>
      <c r="C8" s="428"/>
      <c r="D8" s="429"/>
      <c r="E8" s="427">
        <f>B8+1</f>
        <v>2018</v>
      </c>
      <c r="F8" s="428"/>
      <c r="G8" s="429"/>
      <c r="H8" s="427">
        <f>E8+1</f>
        <v>2019</v>
      </c>
      <c r="I8" s="428"/>
      <c r="J8" s="429"/>
    </row>
    <row r="9" spans="1:10" ht="15.75" customHeight="1">
      <c r="A9" s="425"/>
      <c r="B9" s="368" t="s">
        <v>98</v>
      </c>
      <c r="C9" s="369" t="s">
        <v>98</v>
      </c>
      <c r="D9" s="369" t="s">
        <v>99</v>
      </c>
      <c r="E9" s="369" t="s">
        <v>98</v>
      </c>
      <c r="F9" s="369" t="s">
        <v>98</v>
      </c>
      <c r="G9" s="369" t="s">
        <v>99</v>
      </c>
      <c r="H9" s="369" t="s">
        <v>98</v>
      </c>
      <c r="I9" s="369" t="s">
        <v>98</v>
      </c>
      <c r="J9" s="370" t="s">
        <v>99</v>
      </c>
    </row>
    <row r="10" spans="1:10" ht="15.75" customHeight="1">
      <c r="A10" s="425"/>
      <c r="B10" s="371" t="s">
        <v>100</v>
      </c>
      <c r="C10" s="372" t="s">
        <v>101</v>
      </c>
      <c r="D10" s="372" t="s">
        <v>102</v>
      </c>
      <c r="E10" s="372" t="s">
        <v>100</v>
      </c>
      <c r="F10" s="372" t="s">
        <v>101</v>
      </c>
      <c r="G10" s="372" t="s">
        <v>103</v>
      </c>
      <c r="H10" s="372" t="s">
        <v>100</v>
      </c>
      <c r="I10" s="372" t="s">
        <v>101</v>
      </c>
      <c r="J10" s="373" t="s">
        <v>104</v>
      </c>
    </row>
    <row r="11" spans="1:10" ht="15.75" customHeight="1">
      <c r="A11" s="426"/>
      <c r="B11" s="374" t="s">
        <v>105</v>
      </c>
      <c r="C11" s="375"/>
      <c r="D11" s="376" t="s">
        <v>106</v>
      </c>
      <c r="E11" s="376" t="s">
        <v>107</v>
      </c>
      <c r="F11" s="375"/>
      <c r="G11" s="376" t="s">
        <v>106</v>
      </c>
      <c r="H11" s="376" t="s">
        <v>108</v>
      </c>
      <c r="I11" s="375"/>
      <c r="J11" s="377" t="s">
        <v>106</v>
      </c>
    </row>
    <row r="12" spans="1:10" ht="15">
      <c r="A12" s="378" t="s">
        <v>241</v>
      </c>
      <c r="B12" s="379">
        <f>Metas!B12-MetasRPPS!B12</f>
        <v>28145844.766934082</v>
      </c>
      <c r="C12" s="379">
        <f>B12/(1+Parâmetros!E11)</f>
        <v>26746977.826602757</v>
      </c>
      <c r="D12" s="380">
        <f>B12/(Parâmetros!E20)/1000000</f>
        <v>6.241242699005948E-05</v>
      </c>
      <c r="E12" s="379">
        <f>Metas!E12-MetasRPPS!E12</f>
        <v>34431460.97626622</v>
      </c>
      <c r="F12" s="379">
        <f>E12/((1+Parâmetros!E11)*(1+Parâmetros!F11))</f>
        <v>31239445.091475446</v>
      </c>
      <c r="G12" s="380">
        <f>E12/(Parâmetros!F20)/1000000</f>
        <v>6.9812766826298E-05</v>
      </c>
      <c r="H12" s="379">
        <f>Metas!H12-MetasRPPS!H12</f>
        <v>41320118.35108989</v>
      </c>
      <c r="I12" s="379">
        <f>H12/((1+Parâmetros!E11)*(1+Parâmetros!F11)*(1+Parâmetros!G11))</f>
        <v>35847657.31700141</v>
      </c>
      <c r="J12" s="380" t="e">
        <f>H12/(Parâmetros!G20)/1000000</f>
        <v>#VALUE!</v>
      </c>
    </row>
    <row r="13" spans="1:10" ht="15">
      <c r="A13" s="378" t="s">
        <v>176</v>
      </c>
      <c r="B13" s="379">
        <f>Metas!B13-MetasRPPS!B13</f>
        <v>27832740.732098382</v>
      </c>
      <c r="C13" s="379">
        <f>B13/(1+Parâmetros!E11)</f>
        <v>26449435.267602757</v>
      </c>
      <c r="D13" s="380">
        <f>B13/(Parâmetros!E20)/1000000</f>
        <v>6.171812973672445E-05</v>
      </c>
      <c r="E13" s="379">
        <f>Metas!E13-MetasRPPS!E13</f>
        <v>34103515.81017931</v>
      </c>
      <c r="F13" s="379">
        <f>E13/((1+Parâmetros!E11)*(1+Parâmetros!F11))</f>
        <v>30941902.532475445</v>
      </c>
      <c r="G13" s="380">
        <f>E13/(Parâmetros!F20)/1000000</f>
        <v>6.914782962169845E-05</v>
      </c>
      <c r="H13" s="379">
        <f>Metas!H13-MetasRPPS!H13</f>
        <v>40977153.29639619</v>
      </c>
      <c r="I13" s="379">
        <f>H13/((1+Parâmetros!E11)*(1+Parâmetros!F11)*(1+Parâmetros!G11))</f>
        <v>35550114.75800141</v>
      </c>
      <c r="J13" s="380" t="e">
        <f>H13/(Parâmetros!G20)/1000000</f>
        <v>#VALUE!</v>
      </c>
    </row>
    <row r="14" spans="1:10" ht="15">
      <c r="A14" s="378" t="s">
        <v>242</v>
      </c>
      <c r="B14" s="379">
        <f>Metas!B14-MetasRPPS!B14</f>
        <v>28145844.76693408</v>
      </c>
      <c r="C14" s="379">
        <f>B14/(1+Parâmetros!E11)</f>
        <v>26746977.826602753</v>
      </c>
      <c r="D14" s="380">
        <f>B14/(Parâmetros!E20)/1000000</f>
        <v>6.241242699005948E-05</v>
      </c>
      <c r="E14" s="379">
        <f>Metas!E14-MetasRPPS!E14</f>
        <v>34431460.97626622</v>
      </c>
      <c r="F14" s="379">
        <f>E14/((1+Parâmetros!E11)*(1+Parâmetros!F11))</f>
        <v>31239445.091475446</v>
      </c>
      <c r="G14" s="380">
        <f>E14/(Parâmetros!F20)/1000000</f>
        <v>6.9812766826298E-05</v>
      </c>
      <c r="H14" s="379">
        <f>Metas!H14-MetasRPPS!H14</f>
        <v>41320118.35108989</v>
      </c>
      <c r="I14" s="379">
        <f>H14/((1+Parâmetros!E11)*(1+Parâmetros!F11)*(1+Parâmetros!G11))</f>
        <v>35847657.31700141</v>
      </c>
      <c r="J14" s="380" t="e">
        <f>H14/(Parâmetros!G20)/1000000</f>
        <v>#VALUE!</v>
      </c>
    </row>
    <row r="15" spans="1:10" ht="15">
      <c r="A15" s="378" t="s">
        <v>243</v>
      </c>
      <c r="B15" s="379">
        <f>Metas!B15-MetasRPPS!B15</f>
        <v>27887729.68252226</v>
      </c>
      <c r="C15" s="379">
        <f>B15/(1+Parâmetros!E11)</f>
        <v>26501691.231133953</v>
      </c>
      <c r="D15" s="380">
        <f>B15/(Parâmetros!E20)/1000000</f>
        <v>6.184006581226276E-05</v>
      </c>
      <c r="E15" s="379">
        <f>Metas!E15-MetasRPPS!E15</f>
        <v>34132616.37431916</v>
      </c>
      <c r="F15" s="379">
        <f>E15/((1+Parâmetros!E11)*(1+Parâmetros!F11))</f>
        <v>30968305.288844235</v>
      </c>
      <c r="G15" s="380">
        <f>E15/(Parâmetros!F20)/1000000</f>
        <v>6.920683353385336E-05</v>
      </c>
      <c r="H15" s="379">
        <f>Metas!H15-MetasRPPS!H15</f>
        <v>40976083.47255425</v>
      </c>
      <c r="I15" s="379">
        <f>H15/((1+Parâmetros!E11)*(1+Parâmetros!F11)*(1+Parâmetros!G11))</f>
        <v>35549186.622264974</v>
      </c>
      <c r="J15" s="380" t="e">
        <f>H15/(Parâmetros!G20)/1000000</f>
        <v>#VALUE!</v>
      </c>
    </row>
    <row r="16" spans="1:10" ht="15">
      <c r="A16" s="378" t="s">
        <v>111</v>
      </c>
      <c r="B16" s="379">
        <f>B13-B15</f>
        <v>-54988.950423877686</v>
      </c>
      <c r="C16" s="379">
        <f>C13-C15</f>
        <v>-52255.96353119612</v>
      </c>
      <c r="D16" s="380">
        <f>B16/(Parâmetros!E20)/1000000</f>
        <v>-1.219360755383045E-07</v>
      </c>
      <c r="E16" s="379">
        <f>E13-E15</f>
        <v>-29100.564139850438</v>
      </c>
      <c r="F16" s="379">
        <f>F13-F15</f>
        <v>-26402.756368789822</v>
      </c>
      <c r="G16" s="380">
        <f>E16/(Parâmetros!F20)/1000000</f>
        <v>-5.900391215491826E-08</v>
      </c>
      <c r="H16" s="379">
        <f>H13-H15</f>
        <v>1069.8238419368863</v>
      </c>
      <c r="I16" s="379">
        <f>I13-I15</f>
        <v>928.1357364356518</v>
      </c>
      <c r="J16" s="380" t="e">
        <f>H16/(Parâmetros!G20)/1000000</f>
        <v>#VALUE!</v>
      </c>
    </row>
    <row r="17" spans="1:10" ht="12.75">
      <c r="A17" s="423" t="s">
        <v>393</v>
      </c>
      <c r="B17" s="423"/>
      <c r="C17" s="423"/>
      <c r="D17" s="423"/>
      <c r="E17" s="423"/>
      <c r="F17" s="423"/>
      <c r="G17" s="423"/>
      <c r="H17" s="423"/>
      <c r="I17" s="423"/>
      <c r="J17" s="423"/>
    </row>
    <row r="18" s="93" customFormat="1" ht="15" customHeight="1"/>
  </sheetData>
  <sheetProtection/>
  <mergeCells count="13">
    <mergeCell ref="B7:D7"/>
    <mergeCell ref="E7:G7"/>
    <mergeCell ref="H7:J7"/>
    <mergeCell ref="A1:J1"/>
    <mergeCell ref="A2:J2"/>
    <mergeCell ref="A3:J3"/>
    <mergeCell ref="A4:J4"/>
    <mergeCell ref="A17:J17"/>
    <mergeCell ref="A8:A11"/>
    <mergeCell ref="B8:D8"/>
    <mergeCell ref="E8:G8"/>
    <mergeCell ref="H8:J8"/>
    <mergeCell ref="A5:J5"/>
  </mergeCells>
  <printOptions/>
  <pageMargins left="0.787401575" right="0.787401575" top="0.984251969" bottom="0.984251969" header="0.492125985" footer="0.492125985"/>
  <pageSetup horizontalDpi="300" verticalDpi="300" orientation="portrait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2"/>
  <dimension ref="A1:G19"/>
  <sheetViews>
    <sheetView view="pageBreakPreview" zoomScaleNormal="90" zoomScaleSheetLayoutView="100" zoomScalePageLayoutView="0" workbookViewId="0" topLeftCell="A1">
      <selection activeCell="A2" sqref="A2:G19"/>
    </sheetView>
  </sheetViews>
  <sheetFormatPr defaultColWidth="9.140625" defaultRowHeight="12.75"/>
  <cols>
    <col min="1" max="1" width="20.7109375" style="35" customWidth="1"/>
    <col min="2" max="2" width="20.140625" style="35" customWidth="1"/>
    <col min="3" max="3" width="9.7109375" style="35" customWidth="1"/>
    <col min="4" max="4" width="19.421875" style="35" customWidth="1"/>
    <col min="5" max="5" width="9.7109375" style="35" customWidth="1"/>
    <col min="6" max="6" width="15.140625" style="35" customWidth="1"/>
    <col min="7" max="7" width="14.28125" style="35" customWidth="1"/>
    <col min="8" max="16384" width="9.140625" style="35" customWidth="1"/>
  </cols>
  <sheetData>
    <row r="1" spans="1:7" ht="12.75">
      <c r="A1" s="433" t="str">
        <f>Parâmetros!A7</f>
        <v>Município de :CARAÁ</v>
      </c>
      <c r="B1" s="431"/>
      <c r="C1" s="431"/>
      <c r="D1" s="431"/>
      <c r="E1" s="431"/>
      <c r="F1" s="431"/>
      <c r="G1" s="432"/>
    </row>
    <row r="2" spans="1:7" ht="12.75">
      <c r="A2" s="430" t="s">
        <v>42</v>
      </c>
      <c r="B2" s="431"/>
      <c r="C2" s="431"/>
      <c r="D2" s="431"/>
      <c r="E2" s="431"/>
      <c r="F2" s="431"/>
      <c r="G2" s="432"/>
    </row>
    <row r="3" spans="1:7" ht="12.75">
      <c r="A3" s="430" t="s">
        <v>179</v>
      </c>
      <c r="B3" s="431"/>
      <c r="C3" s="431"/>
      <c r="D3" s="431"/>
      <c r="E3" s="431"/>
      <c r="F3" s="431"/>
      <c r="G3" s="432"/>
    </row>
    <row r="4" spans="1:7" ht="12.75">
      <c r="A4" s="434" t="s">
        <v>180</v>
      </c>
      <c r="B4" s="435"/>
      <c r="C4" s="435"/>
      <c r="D4" s="435"/>
      <c r="E4" s="435"/>
      <c r="F4" s="435"/>
      <c r="G4" s="436"/>
    </row>
    <row r="5" spans="1:7" ht="12.75">
      <c r="A5" s="430" t="s">
        <v>401</v>
      </c>
      <c r="B5" s="431"/>
      <c r="C5" s="431"/>
      <c r="D5" s="431"/>
      <c r="E5" s="431"/>
      <c r="F5" s="431"/>
      <c r="G5" s="432"/>
    </row>
    <row r="6" spans="1:7" ht="12.75">
      <c r="A6" s="430"/>
      <c r="B6" s="431"/>
      <c r="C6" s="431"/>
      <c r="D6" s="431"/>
      <c r="E6" s="431"/>
      <c r="F6" s="431"/>
      <c r="G6" s="432"/>
    </row>
    <row r="7" spans="1:7" ht="12.75" customHeight="1">
      <c r="A7" s="448" t="s">
        <v>289</v>
      </c>
      <c r="B7" s="449"/>
      <c r="C7" s="203"/>
      <c r="D7" s="203"/>
      <c r="E7" s="203"/>
      <c r="F7" s="437">
        <v>1</v>
      </c>
      <c r="G7" s="438"/>
    </row>
    <row r="8" spans="1:7" ht="10.5" customHeight="1">
      <c r="A8" s="439" t="s">
        <v>97</v>
      </c>
      <c r="B8" s="442" t="s">
        <v>163</v>
      </c>
      <c r="C8" s="442" t="s">
        <v>99</v>
      </c>
      <c r="D8" s="442" t="s">
        <v>164</v>
      </c>
      <c r="E8" s="442" t="s">
        <v>99</v>
      </c>
      <c r="F8" s="444" t="s">
        <v>115</v>
      </c>
      <c r="G8" s="445"/>
    </row>
    <row r="9" spans="1:7" ht="12.75" customHeight="1">
      <c r="A9" s="440"/>
      <c r="B9" s="443"/>
      <c r="C9" s="443"/>
      <c r="D9" s="443"/>
      <c r="E9" s="443"/>
      <c r="F9" s="446"/>
      <c r="G9" s="447"/>
    </row>
    <row r="10" spans="1:7" ht="22.5" customHeight="1">
      <c r="A10" s="441"/>
      <c r="B10" s="205" t="s">
        <v>402</v>
      </c>
      <c r="C10" s="205"/>
      <c r="D10" s="205" t="s">
        <v>403</v>
      </c>
      <c r="E10" s="205"/>
      <c r="F10" s="206" t="s">
        <v>171</v>
      </c>
      <c r="G10" s="204" t="s">
        <v>116</v>
      </c>
    </row>
    <row r="11" spans="1:7" ht="15">
      <c r="A11" s="328" t="s">
        <v>47</v>
      </c>
      <c r="B11" s="314">
        <f>Plano!E58</f>
        <v>21902489.5</v>
      </c>
      <c r="C11" s="315">
        <f>B11/(Parâmetros!C20)/1000000</f>
        <v>5.5838384115032075E-05</v>
      </c>
      <c r="D11" s="329">
        <f>Plano!E29</f>
        <v>24502860.810000002</v>
      </c>
      <c r="E11" s="315">
        <f>D11/(Parâmetros!C20)/1000000</f>
        <v>6.246779179261545E-05</v>
      </c>
      <c r="F11" s="330">
        <f aca="true" t="shared" si="0" ref="F11:F18">D11-B11</f>
        <v>2600371.3100000024</v>
      </c>
      <c r="G11" s="331">
        <f>IF(B11=0,"-",(F11/B11))</f>
        <v>0.1187249198316019</v>
      </c>
    </row>
    <row r="12" spans="1:7" ht="15">
      <c r="A12" s="328" t="s">
        <v>181</v>
      </c>
      <c r="B12" s="314">
        <f>B11-(Plano!E59+Plano!E60+Plano!E61+Plano!E62)</f>
        <v>19664253.5</v>
      </c>
      <c r="C12" s="315">
        <f>B12/(Parâmetros!C20)/1000000</f>
        <v>5.0132207129621676E-05</v>
      </c>
      <c r="D12" s="329">
        <f>D11-(Plano!E9+Plano!E21+Plano!E22+Plano!E23)</f>
        <v>22264624.42</v>
      </c>
      <c r="E12" s="315">
        <f>D12/(Parâmetros!C20)/1000000</f>
        <v>5.676161381293589E-05</v>
      </c>
      <c r="F12" s="330">
        <f t="shared" si="0"/>
        <v>2600370.920000002</v>
      </c>
      <c r="G12" s="331">
        <f aca="true" t="shared" si="1" ref="G12:G18">IF(B12=0,"-",(F12/B12))</f>
        <v>0.13223847627879703</v>
      </c>
    </row>
    <row r="13" spans="1:7" ht="15">
      <c r="A13" s="328" t="s">
        <v>48</v>
      </c>
      <c r="B13" s="314">
        <f>Plano!E63</f>
        <v>21902489.5</v>
      </c>
      <c r="C13" s="315">
        <f>B13/(Parâmetros!C20)/1000000</f>
        <v>5.5838384115032075E-05</v>
      </c>
      <c r="D13" s="329">
        <f>Plano!E55</f>
        <v>18504907.91</v>
      </c>
      <c r="E13" s="315">
        <f>D13/(Parâmetros!C20)/1000000</f>
        <v>4.717656209317555E-05</v>
      </c>
      <c r="F13" s="330">
        <f t="shared" si="0"/>
        <v>-3397581.59</v>
      </c>
      <c r="G13" s="331">
        <f t="shared" si="1"/>
        <v>-0.15512307813228263</v>
      </c>
    </row>
    <row r="14" spans="1:7" ht="15">
      <c r="A14" s="328" t="s">
        <v>182</v>
      </c>
      <c r="B14" s="314">
        <f>B13-(Plano!E64+Plano!E65+Plano!E66)</f>
        <v>21711725.98</v>
      </c>
      <c r="C14" s="315">
        <f>B14/(Parâmetros!C20)/1000000</f>
        <v>5.535205005218979E-05</v>
      </c>
      <c r="D14" s="329">
        <f>D13-(Plano!E37+Plano!E48+Plano!E50)</f>
        <v>18314144.39</v>
      </c>
      <c r="E14" s="315">
        <f>D14/(Parâmetros!C20)/1000000</f>
        <v>4.669022803033326E-05</v>
      </c>
      <c r="F14" s="330">
        <f t="shared" si="0"/>
        <v>-3397581.59</v>
      </c>
      <c r="G14" s="331">
        <f t="shared" si="1"/>
        <v>-0.1564860201869589</v>
      </c>
    </row>
    <row r="15" spans="1:7" ht="15">
      <c r="A15" s="328" t="s">
        <v>117</v>
      </c>
      <c r="B15" s="314">
        <f>B12-B14</f>
        <v>-2047472.4800000004</v>
      </c>
      <c r="C15" s="315">
        <f>B15/(Parâmetros!C20)/1000000</f>
        <v>-5.219842922568111E-06</v>
      </c>
      <c r="D15" s="329">
        <f>D12-D14</f>
        <v>3950480.030000001</v>
      </c>
      <c r="E15" s="315">
        <f>D15/(Parâmetros!C20)/1000000</f>
        <v>1.0071385782602634E-05</v>
      </c>
      <c r="F15" s="330">
        <f t="shared" si="0"/>
        <v>5997952.510000002</v>
      </c>
      <c r="G15" s="331">
        <f t="shared" si="1"/>
        <v>-2.9294423092807578</v>
      </c>
    </row>
    <row r="16" spans="1:7" ht="15" customHeight="1">
      <c r="A16" s="328" t="s">
        <v>43</v>
      </c>
      <c r="B16" s="332"/>
      <c r="C16" s="315">
        <f>B16/(Parâmetros!C20)/1000000</f>
        <v>0</v>
      </c>
      <c r="D16" s="329">
        <f>Dívida!C12</f>
        <v>0</v>
      </c>
      <c r="E16" s="315">
        <f>D16/(Parâmetros!C20)/1000000</f>
        <v>0</v>
      </c>
      <c r="F16" s="330">
        <f t="shared" si="0"/>
        <v>0</v>
      </c>
      <c r="G16" s="331" t="str">
        <f t="shared" si="1"/>
        <v>-</v>
      </c>
    </row>
    <row r="17" spans="1:7" ht="27" customHeight="1">
      <c r="A17" s="328" t="s">
        <v>118</v>
      </c>
      <c r="B17" s="332"/>
      <c r="C17" s="315">
        <f>B17/(Parâmetros!C20)/1000000</f>
        <v>0</v>
      </c>
      <c r="D17" s="329">
        <f>Dívida!C7</f>
        <v>0</v>
      </c>
      <c r="E17" s="315">
        <f>D17/(Parâmetros!C20)/1000000</f>
        <v>0</v>
      </c>
      <c r="F17" s="330">
        <f t="shared" si="0"/>
        <v>0</v>
      </c>
      <c r="G17" s="331" t="str">
        <f t="shared" si="1"/>
        <v>-</v>
      </c>
    </row>
    <row r="18" spans="1:7" ht="28.5" customHeight="1">
      <c r="A18" s="328" t="s">
        <v>119</v>
      </c>
      <c r="B18" s="332"/>
      <c r="C18" s="315">
        <f>B18/(Parâmetros!C20)/1000000</f>
        <v>0</v>
      </c>
      <c r="D18" s="329">
        <f>Dívida!C9</f>
        <v>0</v>
      </c>
      <c r="E18" s="315">
        <f>D18/(Parâmetros!C20)/1000000</f>
        <v>0</v>
      </c>
      <c r="F18" s="330">
        <f t="shared" si="0"/>
        <v>0</v>
      </c>
      <c r="G18" s="331" t="str">
        <f t="shared" si="1"/>
        <v>-</v>
      </c>
    </row>
    <row r="19" spans="1:7" ht="12.75">
      <c r="A19" s="412" t="s">
        <v>395</v>
      </c>
      <c r="B19" s="412"/>
      <c r="C19" s="412"/>
      <c r="D19" s="412"/>
      <c r="E19" s="412"/>
      <c r="F19" s="412"/>
      <c r="G19" s="412"/>
    </row>
  </sheetData>
  <sheetProtection/>
  <mergeCells count="15">
    <mergeCell ref="A19:G19"/>
    <mergeCell ref="F7:G7"/>
    <mergeCell ref="A8:A10"/>
    <mergeCell ref="B8:B9"/>
    <mergeCell ref="C8:C9"/>
    <mergeCell ref="D8:D9"/>
    <mergeCell ref="E8:E9"/>
    <mergeCell ref="F8:G9"/>
    <mergeCell ref="A7:B7"/>
    <mergeCell ref="A5:G5"/>
    <mergeCell ref="A6:G6"/>
    <mergeCell ref="A1:G1"/>
    <mergeCell ref="A2:G2"/>
    <mergeCell ref="A3:G3"/>
    <mergeCell ref="A4:G4"/>
  </mergeCells>
  <printOptions/>
  <pageMargins left="0.787401575" right="0.787401575" top="0.984251969" bottom="0.984251969" header="0.492125985" footer="0.492125985"/>
  <pageSetup horizontalDpi="300" verticalDpi="3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3"/>
  <dimension ref="A1:L31"/>
  <sheetViews>
    <sheetView zoomScaleSheetLayoutView="100" zoomScalePageLayoutView="0" workbookViewId="0" topLeftCell="B25">
      <selection activeCell="K66" sqref="K66:K69"/>
    </sheetView>
  </sheetViews>
  <sheetFormatPr defaultColWidth="9.140625" defaultRowHeight="12.75"/>
  <cols>
    <col min="1" max="1" width="25.28125" style="35" customWidth="1"/>
    <col min="2" max="2" width="14.28125" style="35" customWidth="1"/>
    <col min="3" max="3" width="14.7109375" style="35" customWidth="1"/>
    <col min="4" max="4" width="10.28125" style="35" customWidth="1"/>
    <col min="5" max="5" width="14.28125" style="35" customWidth="1"/>
    <col min="6" max="6" width="10.28125" style="35" customWidth="1"/>
    <col min="7" max="7" width="14.140625" style="35" customWidth="1"/>
    <col min="8" max="8" width="11.00390625" style="35" customWidth="1"/>
    <col min="9" max="9" width="13.140625" style="35" customWidth="1"/>
    <col min="10" max="10" width="10.7109375" style="35" customWidth="1"/>
    <col min="11" max="11" width="12.8515625" style="35" customWidth="1"/>
    <col min="12" max="12" width="10.28125" style="35" customWidth="1"/>
    <col min="13" max="16384" width="9.140625" style="35" customWidth="1"/>
  </cols>
  <sheetData>
    <row r="1" spans="1:12" ht="12.75" customHeight="1">
      <c r="A1" s="452" t="str">
        <f>Parâmetros!A7</f>
        <v>Município de :CARAÁ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4"/>
    </row>
    <row r="2" spans="1:12" ht="12.75">
      <c r="A2" s="455" t="s">
        <v>42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4"/>
    </row>
    <row r="3" spans="1:12" ht="12.75">
      <c r="A3" s="455" t="s">
        <v>179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4"/>
    </row>
    <row r="4" spans="1:12" ht="12.75">
      <c r="A4" s="456" t="s">
        <v>183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8"/>
    </row>
    <row r="5" spans="1:12" ht="12.75">
      <c r="A5" s="455" t="s">
        <v>401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4"/>
    </row>
    <row r="6" spans="1:12" ht="12.75">
      <c r="A6" s="455"/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4"/>
    </row>
    <row r="7" spans="1:12" ht="12.75">
      <c r="A7" s="450" t="s">
        <v>290</v>
      </c>
      <c r="B7" s="451"/>
      <c r="C7" s="209"/>
      <c r="D7" s="209"/>
      <c r="E7" s="209"/>
      <c r="F7" s="209"/>
      <c r="G7" s="209"/>
      <c r="H7" s="209"/>
      <c r="I7" s="209"/>
      <c r="J7" s="209"/>
      <c r="K7" s="209"/>
      <c r="L7" s="210">
        <v>1</v>
      </c>
    </row>
    <row r="8" spans="1:12" ht="15.75" customHeight="1">
      <c r="A8" s="183" t="s">
        <v>97</v>
      </c>
      <c r="B8" s="459" t="s">
        <v>120</v>
      </c>
      <c r="C8" s="460"/>
      <c r="D8" s="460"/>
      <c r="E8" s="460"/>
      <c r="F8" s="460"/>
      <c r="G8" s="460"/>
      <c r="H8" s="460"/>
      <c r="I8" s="460"/>
      <c r="J8" s="460"/>
      <c r="K8" s="460"/>
      <c r="L8" s="460"/>
    </row>
    <row r="9" spans="1:12" s="37" customFormat="1" ht="15.75" customHeight="1">
      <c r="A9" s="461"/>
      <c r="B9" s="463">
        <v>2014</v>
      </c>
      <c r="C9" s="463">
        <f>B9+1</f>
        <v>2015</v>
      </c>
      <c r="D9" s="463" t="s">
        <v>173</v>
      </c>
      <c r="E9" s="463">
        <f>C9+1</f>
        <v>2016</v>
      </c>
      <c r="F9" s="463" t="s">
        <v>173</v>
      </c>
      <c r="G9" s="465">
        <f>E9+1</f>
        <v>2017</v>
      </c>
      <c r="H9" s="465" t="s">
        <v>173</v>
      </c>
      <c r="I9" s="465">
        <f>G9+1</f>
        <v>2018</v>
      </c>
      <c r="J9" s="465" t="s">
        <v>174</v>
      </c>
      <c r="K9" s="465">
        <f>I9+1</f>
        <v>2019</v>
      </c>
      <c r="L9" s="467" t="s">
        <v>173</v>
      </c>
    </row>
    <row r="10" spans="1:12" s="37" customFormat="1" ht="15.75" customHeight="1">
      <c r="A10" s="462"/>
      <c r="B10" s="464"/>
      <c r="C10" s="464"/>
      <c r="D10" s="464"/>
      <c r="E10" s="464"/>
      <c r="F10" s="464"/>
      <c r="G10" s="466"/>
      <c r="H10" s="466"/>
      <c r="I10" s="466"/>
      <c r="J10" s="466"/>
      <c r="K10" s="466"/>
      <c r="L10" s="468"/>
    </row>
    <row r="11" spans="1:12" ht="12.75">
      <c r="A11" s="113" t="s">
        <v>121</v>
      </c>
      <c r="B11" s="211">
        <f>Plano!D58</f>
        <v>15947110</v>
      </c>
      <c r="C11" s="211">
        <f>Plano!E58</f>
        <v>21902489.5</v>
      </c>
      <c r="D11" s="212">
        <f aca="true" t="shared" si="0" ref="D11:D18">IF(B11=0,"0",(C11/B11)-1)</f>
        <v>0.37344569015953355</v>
      </c>
      <c r="E11" s="211">
        <f>Plano!F58</f>
        <v>25187862.924999997</v>
      </c>
      <c r="F11" s="212">
        <f aca="true" t="shared" si="1" ref="F11:F18">IF(C11=0,"0",(E11/C11)-1)</f>
        <v>0.1499999999999999</v>
      </c>
      <c r="G11" s="213">
        <f>IF(Metas!B12=0,"0",(Metas!B12))</f>
        <v>32825089.72401243</v>
      </c>
      <c r="H11" s="214">
        <f>IF(E11=0,"0",(G11/E11)-1)</f>
        <v>0.3032105908211915</v>
      </c>
      <c r="I11" s="213">
        <f>IF(Metas!E12=0,"0",(Metas!E12))</f>
        <v>39332502.14431009</v>
      </c>
      <c r="J11" s="212">
        <f>IF(G11=0,"-",(I11/G11)-1)</f>
        <v>0.1982450764037762</v>
      </c>
      <c r="K11" s="213">
        <f>IF(Metas!H12=0,"0",(Metas!H12))</f>
        <v>46445627.20463016</v>
      </c>
      <c r="L11" s="212">
        <f>IF(I11=0,"-",(K11/I11)-1)</f>
        <v>0.18084598417416142</v>
      </c>
    </row>
    <row r="12" spans="1:12" ht="12.75">
      <c r="A12" s="113" t="s">
        <v>186</v>
      </c>
      <c r="B12" s="211">
        <f>B11-(Plano!D59+Plano!D60+Plano!D61+Plano!D62)</f>
        <v>14775960</v>
      </c>
      <c r="C12" s="211">
        <f>C11-(Plano!E59+Plano!E60+Plano!E61+Plano!E62)</f>
        <v>19664253.5</v>
      </c>
      <c r="D12" s="212">
        <f t="shared" si="0"/>
        <v>0.33082747246202615</v>
      </c>
      <c r="E12" s="211">
        <f>E11-(Plano!F59+Plano!F60+Plano!F61+Plano!F62)</f>
        <v>22613891.525</v>
      </c>
      <c r="F12" s="212">
        <f t="shared" si="1"/>
        <v>0.1499999999999999</v>
      </c>
      <c r="G12" s="213">
        <f>IF(Metas!B13=0,"0",(Metas!B13))</f>
        <v>30116499.14783588</v>
      </c>
      <c r="H12" s="214">
        <f aca="true" t="shared" si="2" ref="H12:H18">IF(E12=0,"0",(G12/E12)-1)</f>
        <v>0.33176985989083896</v>
      </c>
      <c r="I12" s="213">
        <f>IF(Metas!E13=0,"0",(Metas!E13))</f>
        <v>36495524.374822766</v>
      </c>
      <c r="J12" s="212">
        <f aca="true" t="shared" si="3" ref="J12:J18">IF(G12=0,"-",(I12/G12)-1)</f>
        <v>0.21181164502798033</v>
      </c>
      <c r="K12" s="213">
        <f>IF(Metas!H13=0,"0",(Metas!H13))</f>
        <v>43478715.85330032</v>
      </c>
      <c r="L12" s="212">
        <f aca="true" t="shared" si="4" ref="L12:L18">IF(I12=0,"-",(K12/I12)-1)</f>
        <v>0.19134377702749372</v>
      </c>
    </row>
    <row r="13" spans="1:12" ht="12.75">
      <c r="A13" s="113" t="s">
        <v>122</v>
      </c>
      <c r="B13" s="211">
        <f>Plano!D63</f>
        <v>15947110</v>
      </c>
      <c r="C13" s="211">
        <f>Plano!E63</f>
        <v>21902489.5</v>
      </c>
      <c r="D13" s="212">
        <f t="shared" si="0"/>
        <v>0.37344569015953355</v>
      </c>
      <c r="E13" s="211">
        <f>Plano!F63</f>
        <v>25187862.924999997</v>
      </c>
      <c r="F13" s="212">
        <f t="shared" si="1"/>
        <v>0.1499999999999999</v>
      </c>
      <c r="G13" s="213">
        <f>IF(Metas!B14=0,"0",(Metas!B14))</f>
        <v>32825089.724012427</v>
      </c>
      <c r="H13" s="214">
        <f t="shared" si="2"/>
        <v>0.3032105908211913</v>
      </c>
      <c r="I13" s="213">
        <f>IF(Metas!E14=0,"0",(Metas!E14))</f>
        <v>39332502.14431009</v>
      </c>
      <c r="J13" s="212">
        <f t="shared" si="3"/>
        <v>0.19824507640377642</v>
      </c>
      <c r="K13" s="213">
        <f>IF(Metas!H14=0,"0",(Metas!H14))</f>
        <v>46445627.20463016</v>
      </c>
      <c r="L13" s="212">
        <f t="shared" si="4"/>
        <v>0.18084598417416142</v>
      </c>
    </row>
    <row r="14" spans="1:12" ht="12.75">
      <c r="A14" s="113" t="s">
        <v>177</v>
      </c>
      <c r="B14" s="211">
        <f>B13-(Plano!D64+Plano!D65+Plano!D66)</f>
        <v>15659060</v>
      </c>
      <c r="C14" s="211">
        <f>C13-(Plano!E64+Plano!E65+Plano!E66)</f>
        <v>21711725.98</v>
      </c>
      <c r="D14" s="212">
        <f t="shared" si="0"/>
        <v>0.38652805340805907</v>
      </c>
      <c r="E14" s="211">
        <f>E13-(Plano!F64+Plano!F65+Plano!F66)</f>
        <v>24968484.876999997</v>
      </c>
      <c r="F14" s="212">
        <f t="shared" si="1"/>
        <v>0.1499999999999999</v>
      </c>
      <c r="G14" s="213">
        <f>IF(Metas!B15=0,"0",(Metas!B15))</f>
        <v>32566974.63960061</v>
      </c>
      <c r="H14" s="214">
        <f t="shared" si="2"/>
        <v>0.3043232218547649</v>
      </c>
      <c r="I14" s="213">
        <f>IF(Metas!E15=0,"0",(Metas!E15))</f>
        <v>39033657.542363025</v>
      </c>
      <c r="J14" s="212">
        <f t="shared" si="3"/>
        <v>0.19856566274041</v>
      </c>
      <c r="K14" s="213">
        <f>IF(Metas!H15=0,"0",(Metas!H15))</f>
        <v>46101592.32609452</v>
      </c>
      <c r="L14" s="212">
        <f t="shared" si="4"/>
        <v>0.18107282864949825</v>
      </c>
    </row>
    <row r="15" spans="1:12" ht="12.75">
      <c r="A15" s="113" t="s">
        <v>123</v>
      </c>
      <c r="B15" s="211">
        <f>B12-B14</f>
        <v>-883100</v>
      </c>
      <c r="C15" s="211">
        <f>C12-C14</f>
        <v>-2047472.4800000004</v>
      </c>
      <c r="D15" s="212">
        <f t="shared" si="0"/>
        <v>1.3185058090816448</v>
      </c>
      <c r="E15" s="211">
        <f>E12-E14</f>
        <v>-2354593.351999998</v>
      </c>
      <c r="F15" s="212">
        <f t="shared" si="1"/>
        <v>0.1499999999999988</v>
      </c>
      <c r="G15" s="213">
        <f>IF(Metas!B16=0,"0",(Metas!B16))</f>
        <v>-2450475.491764728</v>
      </c>
      <c r="H15" s="214">
        <f t="shared" si="2"/>
        <v>0.04072131592628825</v>
      </c>
      <c r="I15" s="213">
        <f>IF(Metas!E16=0,"0",(Metas!E16))</f>
        <v>-2538133.1675402597</v>
      </c>
      <c r="J15" s="212">
        <f t="shared" si="3"/>
        <v>0.035771700663859374</v>
      </c>
      <c r="K15" s="213">
        <f>IF(Metas!H16=0,"0",(Metas!H16))</f>
        <v>-2622876.472794205</v>
      </c>
      <c r="L15" s="212">
        <f t="shared" si="4"/>
        <v>0.033388045330998706</v>
      </c>
    </row>
    <row r="16" spans="1:12" ht="12.75">
      <c r="A16" s="113" t="s">
        <v>124</v>
      </c>
      <c r="B16" s="154"/>
      <c r="C16" s="154">
        <f>' Avaliação'!B16</f>
        <v>0</v>
      </c>
      <c r="D16" s="212" t="str">
        <f t="shared" si="0"/>
        <v>0</v>
      </c>
      <c r="E16" s="154"/>
      <c r="F16" s="212" t="str">
        <f t="shared" si="1"/>
        <v>0</v>
      </c>
      <c r="G16" s="213">
        <f>IF(Metas!B17=0,"0",(Metas!B17))</f>
        <v>-258115.08441181824</v>
      </c>
      <c r="H16" s="214" t="str">
        <f t="shared" si="2"/>
        <v>0</v>
      </c>
      <c r="I16" s="213">
        <f>IF(Metas!E17=0,"0",(Metas!E17))</f>
        <v>-326049.9318440678</v>
      </c>
      <c r="J16" s="212">
        <f t="shared" si="3"/>
        <v>0.26319596000000023</v>
      </c>
      <c r="K16" s="213">
        <f>IF(Metas!H17=0,"0",(Metas!H17))</f>
        <v>-402918.7121742277</v>
      </c>
      <c r="L16" s="212">
        <f t="shared" si="4"/>
        <v>0.2357576948273128</v>
      </c>
    </row>
    <row r="17" spans="1:12" ht="12.75">
      <c r="A17" s="113" t="s">
        <v>125</v>
      </c>
      <c r="B17" s="154"/>
      <c r="C17" s="154">
        <f>' Avaliação'!B17</f>
        <v>0</v>
      </c>
      <c r="D17" s="212" t="str">
        <f t="shared" si="0"/>
        <v>0</v>
      </c>
      <c r="E17" s="154"/>
      <c r="F17" s="212" t="str">
        <f t="shared" si="1"/>
        <v>0</v>
      </c>
      <c r="G17" s="213">
        <f>IF(Metas!B18=0,"0",(Metas!B18))</f>
        <v>-258115.08441181824</v>
      </c>
      <c r="H17" s="214" t="str">
        <f t="shared" si="2"/>
        <v>0</v>
      </c>
      <c r="I17" s="213">
        <f>IF(Metas!E18=0,"0",(Metas!E18))</f>
        <v>-584165.0162558861</v>
      </c>
      <c r="J17" s="212">
        <f t="shared" si="3"/>
        <v>1.26319596</v>
      </c>
      <c r="K17" s="213">
        <f>IF(Metas!H18=0,"0",(Metas!H18))</f>
        <v>-987083.7284301138</v>
      </c>
      <c r="L17" s="212">
        <f t="shared" si="4"/>
        <v>0.689734408877601</v>
      </c>
    </row>
    <row r="18" spans="1:12" ht="12.75">
      <c r="A18" s="215" t="s">
        <v>119</v>
      </c>
      <c r="B18" s="155"/>
      <c r="C18" s="155">
        <f>' Avaliação'!B18</f>
        <v>0</v>
      </c>
      <c r="D18" s="212" t="str">
        <f t="shared" si="0"/>
        <v>0</v>
      </c>
      <c r="E18" s="155"/>
      <c r="F18" s="212" t="str">
        <f t="shared" si="1"/>
        <v>0</v>
      </c>
      <c r="G18" s="213">
        <f>IF(Metas!B19=0,"0",(Metas!B19))</f>
        <v>-258115.08441181824</v>
      </c>
      <c r="H18" s="214" t="str">
        <f t="shared" si="2"/>
        <v>0</v>
      </c>
      <c r="I18" s="213">
        <f>IF(Metas!E19=0,"0",(Metas!E19))</f>
        <v>-584165.0162558861</v>
      </c>
      <c r="J18" s="212">
        <f t="shared" si="3"/>
        <v>1.26319596</v>
      </c>
      <c r="K18" s="213">
        <f>IF(Metas!H19=0,"0",(Metas!H19))</f>
        <v>-987083.7284301138</v>
      </c>
      <c r="L18" s="212">
        <f t="shared" si="4"/>
        <v>0.689734408877601</v>
      </c>
    </row>
    <row r="19" spans="1:12" ht="12.75">
      <c r="A19" s="460"/>
      <c r="B19" s="460"/>
      <c r="C19" s="460"/>
      <c r="D19" s="460"/>
      <c r="E19" s="460"/>
      <c r="F19" s="460"/>
      <c r="G19" s="460"/>
      <c r="H19" s="460"/>
      <c r="I19" s="460"/>
      <c r="J19" s="460"/>
      <c r="K19" s="460"/>
      <c r="L19" s="460"/>
    </row>
    <row r="20" spans="1:12" ht="15.75" customHeight="1">
      <c r="A20" s="184" t="s">
        <v>97</v>
      </c>
      <c r="B20" s="459" t="s">
        <v>126</v>
      </c>
      <c r="C20" s="460"/>
      <c r="D20" s="460"/>
      <c r="E20" s="460"/>
      <c r="F20" s="460"/>
      <c r="G20" s="460"/>
      <c r="H20" s="460"/>
      <c r="I20" s="460"/>
      <c r="J20" s="460"/>
      <c r="K20" s="460"/>
      <c r="L20" s="460"/>
    </row>
    <row r="21" spans="1:12" s="37" customFormat="1" ht="15.75" customHeight="1">
      <c r="A21" s="461"/>
      <c r="B21" s="463">
        <v>2014</v>
      </c>
      <c r="C21" s="463">
        <f>B21+1</f>
        <v>2015</v>
      </c>
      <c r="D21" s="463" t="s">
        <v>173</v>
      </c>
      <c r="E21" s="463">
        <f>C21+1</f>
        <v>2016</v>
      </c>
      <c r="F21" s="465" t="s">
        <v>173</v>
      </c>
      <c r="G21" s="465">
        <f>E21+1</f>
        <v>2017</v>
      </c>
      <c r="H21" s="465" t="s">
        <v>173</v>
      </c>
      <c r="I21" s="465">
        <f>G21+1</f>
        <v>2018</v>
      </c>
      <c r="J21" s="465" t="s">
        <v>173</v>
      </c>
      <c r="K21" s="465">
        <f>I21+1</f>
        <v>2019</v>
      </c>
      <c r="L21" s="467" t="s">
        <v>173</v>
      </c>
    </row>
    <row r="22" spans="1:12" s="37" customFormat="1" ht="15.75" customHeight="1">
      <c r="A22" s="462"/>
      <c r="B22" s="464"/>
      <c r="C22" s="464"/>
      <c r="D22" s="464"/>
      <c r="E22" s="464"/>
      <c r="F22" s="466"/>
      <c r="G22" s="466"/>
      <c r="H22" s="466"/>
      <c r="I22" s="466"/>
      <c r="J22" s="466"/>
      <c r="K22" s="466"/>
      <c r="L22" s="468"/>
    </row>
    <row r="23" spans="1:12" ht="12.75">
      <c r="A23" s="113" t="s">
        <v>121</v>
      </c>
      <c r="B23" s="213">
        <f>B11*((1+Parâmetros!C11)*(1+Parâmetros!D11))</f>
        <v>18919370.634864002</v>
      </c>
      <c r="C23" s="211">
        <f>C11*(1+Parâmetros!D11)</f>
        <v>23479468.744000003</v>
      </c>
      <c r="D23" s="212">
        <f>IF(B23=0,"-",(C23/B23)-1)</f>
        <v>0.241028002312762</v>
      </c>
      <c r="E23" s="211">
        <f>E11</f>
        <v>25187862.924999997</v>
      </c>
      <c r="F23" s="212">
        <f>IF(C23=0,"-",(E23/C23)-1)</f>
        <v>0.07276119402985048</v>
      </c>
      <c r="G23" s="213">
        <f>Metas!C12</f>
        <v>31193661.241102755</v>
      </c>
      <c r="H23" s="212">
        <f>IF(E23=0,"-",(G23/E23)-1)</f>
        <v>0.2384401699336609</v>
      </c>
      <c r="I23" s="213">
        <f>Metas!F12</f>
        <v>35686128.50597545</v>
      </c>
      <c r="J23" s="212">
        <f>IF(G23=0,"-",(I23/G23)-1)</f>
        <v>0.1440185950007411</v>
      </c>
      <c r="K23" s="213">
        <f>Metas!I12</f>
        <v>40294340.73150141</v>
      </c>
      <c r="L23" s="212">
        <f>IF(I23=0,"-",(K23/I23)-1)</f>
        <v>0.1291317500231033</v>
      </c>
    </row>
    <row r="24" spans="1:12" ht="12.75">
      <c r="A24" s="113" t="s">
        <v>186</v>
      </c>
      <c r="B24" s="213">
        <f>B12*((1+Parâmetros!C11)*(1+Parâmetros!D11))</f>
        <v>17529938.887104</v>
      </c>
      <c r="C24" s="211">
        <f>C12*(1+Parâmetros!D11)</f>
        <v>21080079.752</v>
      </c>
      <c r="D24" s="212">
        <f aca="true" t="shared" si="5" ref="D24:D30">IF(B24=0,"-",(C24/B24)-1)</f>
        <v>0.20251872455229614</v>
      </c>
      <c r="E24" s="211">
        <f>E12</f>
        <v>22613891.525</v>
      </c>
      <c r="F24" s="212">
        <f>IF(C24=0,"-",(E24/C24)-1)</f>
        <v>0.0727611940298507</v>
      </c>
      <c r="G24" s="216">
        <f>Metas!C13</f>
        <v>28619689.392602757</v>
      </c>
      <c r="H24" s="212">
        <f aca="true" t="shared" si="6" ref="H24:H30">IF(E24=0,"-",(G24/E24)-1)</f>
        <v>0.2655800246040474</v>
      </c>
      <c r="I24" s="216">
        <f>Metas!F13</f>
        <v>33112156.657475445</v>
      </c>
      <c r="J24" s="212">
        <f aca="true" t="shared" si="7" ref="J24:J30">IF(G24=0,"-",(I24/G24)-1)</f>
        <v>0.15697120968873413</v>
      </c>
      <c r="K24" s="216">
        <f>Metas!I13</f>
        <v>37720368.88300141</v>
      </c>
      <c r="L24" s="212">
        <f aca="true" t="shared" si="8" ref="L24:L30">IF(I24=0,"-",(K24/I24)-1)</f>
        <v>0.1391698001792827</v>
      </c>
    </row>
    <row r="25" spans="1:12" ht="12.75">
      <c r="A25" s="113" t="s">
        <v>122</v>
      </c>
      <c r="B25" s="213">
        <f>B13*((1+Parâmetros!C11)*(1+Parâmetros!D11))</f>
        <v>18919370.634864002</v>
      </c>
      <c r="C25" s="211">
        <f>C13*(1+Parâmetros!D11)</f>
        <v>23479468.744000003</v>
      </c>
      <c r="D25" s="212">
        <f t="shared" si="5"/>
        <v>0.241028002312762</v>
      </c>
      <c r="E25" s="211">
        <f>E13</f>
        <v>25187862.924999997</v>
      </c>
      <c r="F25" s="212">
        <f aca="true" t="shared" si="9" ref="F25:F30">IF(C25=0,"-",(E25/C25)-1)</f>
        <v>0.07276119402985048</v>
      </c>
      <c r="G25" s="216">
        <f>Metas!C14</f>
        <v>31193661.24110275</v>
      </c>
      <c r="H25" s="212">
        <f t="shared" si="6"/>
        <v>0.2384401699336609</v>
      </c>
      <c r="I25" s="216">
        <f>Metas!F14</f>
        <v>35686128.50597545</v>
      </c>
      <c r="J25" s="212">
        <f t="shared" si="7"/>
        <v>0.14401859500074132</v>
      </c>
      <c r="K25" s="216">
        <f>Metas!I14</f>
        <v>40294340.73150141</v>
      </c>
      <c r="L25" s="212">
        <f t="shared" si="8"/>
        <v>0.1291317500231033</v>
      </c>
    </row>
    <row r="26" spans="1:12" ht="12.75">
      <c r="A26" s="113" t="s">
        <v>177</v>
      </c>
      <c r="B26" s="213">
        <f>B14*((1+Parâmetros!C11)*(1+Parâmetros!D11))</f>
        <v>18577633.184544</v>
      </c>
      <c r="C26" s="211">
        <f>C14*(1+Parâmetros!D11)</f>
        <v>23274970.25056</v>
      </c>
      <c r="D26" s="212">
        <f t="shared" si="5"/>
        <v>0.25284905883081144</v>
      </c>
      <c r="E26" s="211">
        <f>E14</f>
        <v>24968484.876999997</v>
      </c>
      <c r="F26" s="212">
        <f t="shared" si="9"/>
        <v>0.07276119402985048</v>
      </c>
      <c r="G26" s="216">
        <f>Metas!C15</f>
        <v>30948374.64563395</v>
      </c>
      <c r="H26" s="212">
        <f t="shared" si="6"/>
        <v>0.23949750247530632</v>
      </c>
      <c r="I26" s="216">
        <f>Metas!F15</f>
        <v>35414988.70334423</v>
      </c>
      <c r="J26" s="212">
        <f t="shared" si="7"/>
        <v>0.14432467322933906</v>
      </c>
      <c r="K26" s="216">
        <f>Metas!I15</f>
        <v>39995870.03676497</v>
      </c>
      <c r="L26" s="212">
        <f t="shared" si="8"/>
        <v>0.1293486600205569</v>
      </c>
    </row>
    <row r="27" spans="1:12" ht="12.75">
      <c r="A27" s="113" t="s">
        <v>123</v>
      </c>
      <c r="B27" s="213">
        <f>B24-B26</f>
        <v>-1047694.2974399999</v>
      </c>
      <c r="C27" s="216">
        <f>C24-C26</f>
        <v>-2194890.49856</v>
      </c>
      <c r="D27" s="212">
        <f t="shared" si="5"/>
        <v>1.0949722680777487</v>
      </c>
      <c r="E27" s="216">
        <f>E24-E26</f>
        <v>-2354593.351999998</v>
      </c>
      <c r="F27" s="212">
        <f t="shared" si="9"/>
        <v>0.07276119402984982</v>
      </c>
      <c r="G27" s="216">
        <f>Metas!C16</f>
        <v>-2328685.253031194</v>
      </c>
      <c r="H27" s="212">
        <f t="shared" si="6"/>
        <v>-0.011003215883030326</v>
      </c>
      <c r="I27" s="216">
        <f>Metas!F16</f>
        <v>-2302832.045868788</v>
      </c>
      <c r="J27" s="212">
        <f t="shared" si="7"/>
        <v>-0.011102061615563485</v>
      </c>
      <c r="K27" s="216">
        <f>Metas!I16</f>
        <v>-2275501.1537635624</v>
      </c>
      <c r="L27" s="212">
        <f t="shared" si="8"/>
        <v>-0.011868382739529948</v>
      </c>
    </row>
    <row r="28" spans="1:12" ht="12.75">
      <c r="A28" s="113" t="s">
        <v>124</v>
      </c>
      <c r="B28" s="213">
        <f>B16*((1+Parâmetros!C11)*(1+Parâmetros!D11))</f>
        <v>0</v>
      </c>
      <c r="C28" s="211">
        <f>C16*(1+Parâmetros!D11)</f>
        <v>0</v>
      </c>
      <c r="D28" s="212" t="str">
        <f t="shared" si="5"/>
        <v>-</v>
      </c>
      <c r="E28" s="211">
        <f>E16</f>
        <v>0</v>
      </c>
      <c r="F28" s="212" t="str">
        <f t="shared" si="9"/>
        <v>-</v>
      </c>
      <c r="G28" s="216">
        <f>Metas!C17</f>
        <v>-245286.5954688</v>
      </c>
      <c r="H28" s="212" t="str">
        <f t="shared" si="6"/>
        <v>-</v>
      </c>
      <c r="I28" s="216">
        <f>Metas!F17</f>
        <v>-295823.02505092847</v>
      </c>
      <c r="J28" s="212">
        <f t="shared" si="7"/>
        <v>0.20603013175482165</v>
      </c>
      <c r="K28" s="216">
        <f>Metas!I17</f>
        <v>-349555.91844882176</v>
      </c>
      <c r="L28" s="212">
        <f t="shared" si="8"/>
        <v>0.18163864489129167</v>
      </c>
    </row>
    <row r="29" spans="1:12" ht="12.75">
      <c r="A29" s="113" t="s">
        <v>125</v>
      </c>
      <c r="B29" s="213">
        <f>B17*((1+Parâmetros!C11)*(1+Parâmetros!D11))</f>
        <v>0</v>
      </c>
      <c r="C29" s="211">
        <f>C17*(1+Parâmetros!D11)</f>
        <v>0</v>
      </c>
      <c r="D29" s="212" t="str">
        <f t="shared" si="5"/>
        <v>-</v>
      </c>
      <c r="E29" s="211">
        <f>E17</f>
        <v>0</v>
      </c>
      <c r="F29" s="212" t="str">
        <f t="shared" si="9"/>
        <v>-</v>
      </c>
      <c r="G29" s="216">
        <f>Metas!C18</f>
        <v>-245286.5954688</v>
      </c>
      <c r="H29" s="212" t="str">
        <f t="shared" si="6"/>
        <v>-</v>
      </c>
      <c r="I29" s="216">
        <f>Metas!F18</f>
        <v>-530009.1960159848</v>
      </c>
      <c r="J29" s="212">
        <f t="shared" si="7"/>
        <v>1.1607752148176438</v>
      </c>
      <c r="K29" s="216">
        <f>Metas!I18</f>
        <v>-856353.7727383462</v>
      </c>
      <c r="L29" s="212">
        <f t="shared" si="8"/>
        <v>0.6157338008009188</v>
      </c>
    </row>
    <row r="30" spans="1:12" ht="12.75">
      <c r="A30" s="215" t="s">
        <v>119</v>
      </c>
      <c r="B30" s="213">
        <f>B18*((1+Parâmetros!C11)*(1+Parâmetros!D11))</f>
        <v>0</v>
      </c>
      <c r="C30" s="211">
        <f>C18*(1+Parâmetros!D11)</f>
        <v>0</v>
      </c>
      <c r="D30" s="212" t="str">
        <f t="shared" si="5"/>
        <v>-</v>
      </c>
      <c r="E30" s="211">
        <f>E18</f>
        <v>0</v>
      </c>
      <c r="F30" s="212" t="str">
        <f t="shared" si="9"/>
        <v>-</v>
      </c>
      <c r="G30" s="217">
        <f>Metas!C19</f>
        <v>-245286.5954688</v>
      </c>
      <c r="H30" s="212" t="str">
        <f t="shared" si="6"/>
        <v>-</v>
      </c>
      <c r="I30" s="213">
        <f>IF(Metas!F19=0,"0",(Metas!F19))</f>
        <v>-530009.1960159848</v>
      </c>
      <c r="J30" s="212">
        <f t="shared" si="7"/>
        <v>1.1607752148176438</v>
      </c>
      <c r="K30" s="213">
        <f>IF(Metas!I19=0,"0",(Metas!I19))</f>
        <v>-856353.7727383462</v>
      </c>
      <c r="L30" s="212">
        <f t="shared" si="8"/>
        <v>0.6157338008009188</v>
      </c>
    </row>
    <row r="31" spans="1:12" ht="12.75">
      <c r="A31" s="469" t="s">
        <v>393</v>
      </c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69"/>
    </row>
  </sheetData>
  <sheetProtection/>
  <mergeCells count="35">
    <mergeCell ref="G21:G22"/>
    <mergeCell ref="H21:H22"/>
    <mergeCell ref="A31:L31"/>
    <mergeCell ref="F21:F22"/>
    <mergeCell ref="I21:I22"/>
    <mergeCell ref="J21:J22"/>
    <mergeCell ref="K21:K22"/>
    <mergeCell ref="L21:L22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7:B7"/>
    <mergeCell ref="A1:L1"/>
    <mergeCell ref="A2:L2"/>
    <mergeCell ref="A3:L3"/>
    <mergeCell ref="A4:L4"/>
    <mergeCell ref="A5:L5"/>
    <mergeCell ref="A6:L6"/>
  </mergeCells>
  <printOptions/>
  <pageMargins left="0.787401575" right="0.787401575" top="0.984251969" bottom="0.984251969" header="0.492125985" footer="0.492125985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Usuario</cp:lastModifiedBy>
  <cp:lastPrinted>2017-11-06T12:46:42Z</cp:lastPrinted>
  <dcterms:created xsi:type="dcterms:W3CDTF">2000-07-04T17:38:30Z</dcterms:created>
  <dcterms:modified xsi:type="dcterms:W3CDTF">2017-11-06T12:46:54Z</dcterms:modified>
  <cp:category/>
  <cp:version/>
  <cp:contentType/>
  <cp:contentStatus/>
</cp:coreProperties>
</file>